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fileSharing readOnlyRecommended="1"/>
  <workbookPr/>
  <mc:AlternateContent xmlns:mc="http://schemas.openxmlformats.org/markup-compatibility/2006">
    <mc:Choice Requires="x15">
      <x15ac:absPath xmlns:x15ac="http://schemas.microsoft.com/office/spreadsheetml/2010/11/ac" url="L:\Erhvervsøkonomi\LandbrugsInfo\01-LandbrugsInfo\23-Promille\"/>
    </mc:Choice>
  </mc:AlternateContent>
  <xr:revisionPtr revIDLastSave="0" documentId="8_{7973775C-A017-4BAD-9F37-C98C41FCB20C}" xr6:coauthVersionLast="45" xr6:coauthVersionMax="45" xr10:uidLastSave="{00000000-0000-0000-0000-000000000000}"/>
  <bookViews>
    <workbookView xWindow="25080" yWindow="-465" windowWidth="29040" windowHeight="15840" xr2:uid="{00000000-000D-0000-FFFF-FFFF00000000}"/>
  </bookViews>
  <sheets>
    <sheet name="Dokumentation" sheetId="8" r:id="rId1"/>
    <sheet name="Beregningsark klimaaftryk årsko" sheetId="1" r:id="rId2"/>
    <sheet name="Beregningsark foder_enteriskCH4" sheetId="6" r:id="rId3"/>
    <sheet name="Dataark Normtal kvæg" sheetId="2" r:id="rId4"/>
  </sheets>
  <definedNames>
    <definedName name="OLE_LINK1" localSheetId="0">Dokumentation!$A$1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7" i="1" l="1"/>
  <c r="D2" i="6" l="1"/>
  <c r="F6" i="6" l="1"/>
  <c r="G6" i="6"/>
  <c r="E6" i="6" l="1"/>
  <c r="K3" i="2" l="1"/>
  <c r="H6" i="6" l="1"/>
  <c r="I6" i="6" s="1"/>
  <c r="J6" i="6" s="1"/>
  <c r="K6" i="6" s="1"/>
  <c r="D61" i="1" l="1"/>
  <c r="D48" i="1"/>
  <c r="D42" i="1"/>
  <c r="D59" i="1"/>
  <c r="D53" i="1" l="1"/>
  <c r="H16" i="2" l="1"/>
  <c r="H7" i="2"/>
  <c r="F3" i="2" l="1"/>
  <c r="F4" i="2" s="1"/>
  <c r="E4" i="2"/>
  <c r="E5" i="2" l="1"/>
  <c r="F159" i="2" l="1"/>
  <c r="F143" i="2"/>
  <c r="F127" i="2"/>
  <c r="F109" i="2"/>
  <c r="F91" i="2"/>
  <c r="F83" i="2"/>
  <c r="F65" i="2"/>
  <c r="F43" i="2"/>
  <c r="F39" i="2"/>
  <c r="F21" i="2"/>
  <c r="I5" i="2" l="1"/>
  <c r="I6" i="2"/>
  <c r="I7" i="2"/>
  <c r="I8" i="2"/>
  <c r="D33" i="1" s="1"/>
  <c r="I9" i="2"/>
  <c r="I10" i="2"/>
  <c r="I11" i="2"/>
  <c r="I12" i="2"/>
  <c r="I13" i="2"/>
  <c r="I14" i="2"/>
  <c r="I15" i="2"/>
  <c r="I16" i="2"/>
  <c r="I17" i="2"/>
  <c r="I18" i="2"/>
  <c r="I19" i="2"/>
  <c r="I22" i="2"/>
  <c r="I23" i="2"/>
  <c r="I24" i="2"/>
  <c r="I25" i="2"/>
  <c r="I26" i="2"/>
  <c r="I27" i="2"/>
  <c r="I28" i="2"/>
  <c r="I29" i="2"/>
  <c r="I30" i="2"/>
  <c r="I31" i="2"/>
  <c r="I32" i="2"/>
  <c r="I33" i="2"/>
  <c r="I34" i="2"/>
  <c r="I35" i="2"/>
  <c r="I36" i="2"/>
  <c r="I37" i="2"/>
  <c r="I40" i="2"/>
  <c r="I41" i="2"/>
  <c r="I42" i="2"/>
  <c r="I43" i="2"/>
  <c r="I44" i="2"/>
  <c r="I45" i="2"/>
  <c r="I48" i="2"/>
  <c r="I49" i="2"/>
  <c r="I50" i="2"/>
  <c r="I51" i="2"/>
  <c r="I52" i="2"/>
  <c r="I53" i="2"/>
  <c r="I54" i="2"/>
  <c r="I55" i="2"/>
  <c r="I56" i="2"/>
  <c r="I57" i="2"/>
  <c r="I58" i="2"/>
  <c r="I59" i="2"/>
  <c r="I60" i="2"/>
  <c r="I61" i="2"/>
  <c r="I62" i="2"/>
  <c r="I63" i="2"/>
  <c r="I66" i="2"/>
  <c r="I67" i="2"/>
  <c r="I68" i="2"/>
  <c r="I69" i="2"/>
  <c r="I70" i="2"/>
  <c r="I71" i="2"/>
  <c r="I72" i="2"/>
  <c r="I73" i="2"/>
  <c r="I74" i="2"/>
  <c r="I75" i="2"/>
  <c r="I76" i="2"/>
  <c r="I77" i="2"/>
  <c r="I78" i="2"/>
  <c r="I79" i="2"/>
  <c r="I80" i="2"/>
  <c r="I81" i="2"/>
  <c r="I84" i="2"/>
  <c r="I85" i="2"/>
  <c r="I88" i="2"/>
  <c r="I89" i="2"/>
  <c r="I92" i="2"/>
  <c r="I93" i="2"/>
  <c r="I94" i="2"/>
  <c r="I95" i="2"/>
  <c r="I96" i="2"/>
  <c r="I97" i="2"/>
  <c r="I98" i="2"/>
  <c r="I99" i="2"/>
  <c r="I100" i="2"/>
  <c r="I101" i="2"/>
  <c r="I102" i="2"/>
  <c r="I103" i="2"/>
  <c r="I104" i="2"/>
  <c r="I105" i="2"/>
  <c r="I106" i="2"/>
  <c r="I107" i="2"/>
  <c r="I110" i="2"/>
  <c r="I111" i="2"/>
  <c r="I112" i="2"/>
  <c r="I113" i="2"/>
  <c r="I114" i="2"/>
  <c r="I115" i="2"/>
  <c r="I116" i="2"/>
  <c r="I117" i="2"/>
  <c r="I118" i="2"/>
  <c r="I119" i="2"/>
  <c r="I120" i="2"/>
  <c r="I121" i="2"/>
  <c r="I122" i="2"/>
  <c r="I123" i="2"/>
  <c r="I124" i="2"/>
  <c r="I125" i="2"/>
  <c r="I128" i="2"/>
  <c r="I129" i="2"/>
  <c r="I130" i="2"/>
  <c r="I131" i="2"/>
  <c r="I132" i="2"/>
  <c r="I133" i="2"/>
  <c r="I134" i="2"/>
  <c r="I135" i="2"/>
  <c r="I136" i="2"/>
  <c r="I137" i="2"/>
  <c r="I138" i="2"/>
  <c r="I139" i="2"/>
  <c r="I140" i="2"/>
  <c r="I141" i="2"/>
  <c r="I144" i="2"/>
  <c r="I145" i="2"/>
  <c r="I146" i="2"/>
  <c r="I147" i="2"/>
  <c r="I148" i="2"/>
  <c r="I149" i="2"/>
  <c r="I150" i="2"/>
  <c r="I151" i="2"/>
  <c r="I152" i="2"/>
  <c r="I153" i="2"/>
  <c r="I154" i="2"/>
  <c r="I155" i="2"/>
  <c r="I156" i="2"/>
  <c r="I157" i="2"/>
  <c r="I160" i="2"/>
  <c r="I161" i="2"/>
  <c r="I162" i="2"/>
  <c r="I163" i="2"/>
  <c r="I164" i="2"/>
  <c r="I165" i="2"/>
  <c r="I166" i="2"/>
  <c r="I167" i="2"/>
  <c r="I168" i="2"/>
  <c r="I169" i="2"/>
  <c r="I170" i="2"/>
  <c r="I171" i="2"/>
  <c r="I172" i="2"/>
  <c r="H4" i="2"/>
  <c r="I4" i="2"/>
  <c r="E6" i="2" l="1"/>
  <c r="E7" i="2"/>
  <c r="E8" i="2"/>
  <c r="E9" i="2"/>
  <c r="E10" i="2"/>
  <c r="E11" i="2"/>
  <c r="E12" i="2"/>
  <c r="E13" i="2"/>
  <c r="E14" i="2"/>
  <c r="E15" i="2"/>
  <c r="E16" i="2"/>
  <c r="E17" i="2"/>
  <c r="E18" i="2"/>
  <c r="E19" i="2"/>
  <c r="E22" i="2"/>
  <c r="E23" i="2"/>
  <c r="E24" i="2"/>
  <c r="E25" i="2"/>
  <c r="E26" i="2"/>
  <c r="E27" i="2"/>
  <c r="E28" i="2"/>
  <c r="E29" i="2"/>
  <c r="E30" i="2"/>
  <c r="E31" i="2"/>
  <c r="E32" i="2"/>
  <c r="E33" i="2"/>
  <c r="E34" i="2"/>
  <c r="E35" i="2"/>
  <c r="E36" i="2"/>
  <c r="E37" i="2"/>
  <c r="E40" i="2"/>
  <c r="E41" i="2"/>
  <c r="E44" i="2"/>
  <c r="E45" i="2"/>
  <c r="K159" i="2" l="1"/>
  <c r="K173" i="2" s="1"/>
  <c r="K143" i="2"/>
  <c r="K153" i="2" s="1"/>
  <c r="K127" i="2"/>
  <c r="K131" i="2" s="1"/>
  <c r="K109" i="2"/>
  <c r="K124" i="2" s="1"/>
  <c r="F106" i="2"/>
  <c r="F105" i="2"/>
  <c r="K91" i="2"/>
  <c r="K107" i="2" s="1"/>
  <c r="K87" i="2"/>
  <c r="K88" i="2" s="1"/>
  <c r="K83" i="2"/>
  <c r="K84" i="2" s="1"/>
  <c r="K65" i="2"/>
  <c r="K78" i="2" s="1"/>
  <c r="K47" i="2"/>
  <c r="K61" i="2" s="1"/>
  <c r="K43" i="2"/>
  <c r="K44" i="2" s="1"/>
  <c r="K39" i="2"/>
  <c r="K40" i="2" s="1"/>
  <c r="K21" i="2"/>
  <c r="K34" i="2" s="1"/>
  <c r="K4" i="2" l="1"/>
  <c r="K146" i="2"/>
  <c r="K105" i="2"/>
  <c r="K149" i="2"/>
  <c r="K32" i="2"/>
  <c r="K154" i="2"/>
  <c r="K155" i="2"/>
  <c r="K36" i="2"/>
  <c r="K114" i="2"/>
  <c r="K89" i="2"/>
  <c r="K120" i="2"/>
  <c r="K164" i="2"/>
  <c r="K45" i="2"/>
  <c r="K95" i="2"/>
  <c r="K53" i="2"/>
  <c r="K27" i="2"/>
  <c r="K150" i="2"/>
  <c r="K76" i="2"/>
  <c r="K35" i="2"/>
  <c r="K62" i="2"/>
  <c r="K79" i="2"/>
  <c r="K125" i="2"/>
  <c r="K80" i="2"/>
  <c r="K66" i="2"/>
  <c r="K136" i="2"/>
  <c r="K41" i="2"/>
  <c r="K68" i="2"/>
  <c r="K85" i="2"/>
  <c r="K156" i="2"/>
  <c r="K24" i="2"/>
  <c r="K71" i="2"/>
  <c r="K112" i="2"/>
  <c r="K157" i="2"/>
  <c r="K72" i="2"/>
  <c r="K26" i="2"/>
  <c r="K74" i="2"/>
  <c r="K113" i="2"/>
  <c r="K151" i="2"/>
  <c r="K163" i="2"/>
  <c r="K63" i="2"/>
  <c r="K101" i="2"/>
  <c r="K137" i="2"/>
  <c r="K25" i="2"/>
  <c r="K37" i="2"/>
  <c r="K48" i="2"/>
  <c r="K51" i="2"/>
  <c r="K73" i="2"/>
  <c r="K81" i="2"/>
  <c r="K94" i="2"/>
  <c r="K102" i="2"/>
  <c r="K119" i="2"/>
  <c r="K130" i="2"/>
  <c r="K138" i="2"/>
  <c r="K168" i="2"/>
  <c r="K22" i="2"/>
  <c r="K30" i="2"/>
  <c r="K49" i="2"/>
  <c r="K57" i="2"/>
  <c r="K100" i="2"/>
  <c r="K103" i="2"/>
  <c r="K135" i="2"/>
  <c r="K139" i="2"/>
  <c r="K169" i="2"/>
  <c r="K23" i="2"/>
  <c r="K31" i="2"/>
  <c r="K50" i="2"/>
  <c r="K58" i="2"/>
  <c r="K67" i="2"/>
  <c r="K75" i="2"/>
  <c r="K99" i="2"/>
  <c r="K104" i="2"/>
  <c r="K118" i="2"/>
  <c r="K121" i="2"/>
  <c r="K134" i="2"/>
  <c r="K140" i="2"/>
  <c r="K148" i="2"/>
  <c r="K162" i="2"/>
  <c r="K170" i="2"/>
  <c r="K117" i="2"/>
  <c r="K122" i="2"/>
  <c r="K133" i="2"/>
  <c r="K141" i="2"/>
  <c r="K147" i="2"/>
  <c r="K167" i="2"/>
  <c r="K171" i="2"/>
  <c r="K29" i="2"/>
  <c r="K33" i="2"/>
  <c r="K55" i="2"/>
  <c r="K60" i="2"/>
  <c r="K69" i="2"/>
  <c r="K77" i="2"/>
  <c r="K97" i="2"/>
  <c r="K106" i="2"/>
  <c r="K116" i="2"/>
  <c r="K123" i="2"/>
  <c r="K132" i="2"/>
  <c r="K152" i="2"/>
  <c r="K166" i="2"/>
  <c r="K172" i="2"/>
  <c r="K52" i="2"/>
  <c r="K56" i="2"/>
  <c r="K59" i="2"/>
  <c r="K98" i="2"/>
  <c r="K28" i="2"/>
  <c r="K54" i="2"/>
  <c r="K70" i="2"/>
  <c r="K96" i="2"/>
  <c r="K115" i="2"/>
  <c r="K165" i="2"/>
  <c r="K17" i="2"/>
  <c r="K18" i="2"/>
  <c r="K19" i="2"/>
  <c r="K5" i="2"/>
  <c r="K13" i="2"/>
  <c r="K6" i="2"/>
  <c r="L6" i="2" s="1"/>
  <c r="K14" i="2"/>
  <c r="K10" i="2"/>
  <c r="K11" i="2"/>
  <c r="K12" i="2"/>
  <c r="K7" i="2"/>
  <c r="K8" i="2"/>
  <c r="D32" i="1" s="1"/>
  <c r="D38" i="1" s="1"/>
  <c r="K16" i="2"/>
  <c r="K15" i="2"/>
  <c r="K9" i="2"/>
  <c r="H6" i="2"/>
  <c r="H8" i="2"/>
  <c r="D31" i="1" s="1"/>
  <c r="D36" i="1" s="1"/>
  <c r="H9" i="2"/>
  <c r="H10" i="2"/>
  <c r="H11" i="2"/>
  <c r="H12" i="2"/>
  <c r="H14" i="2"/>
  <c r="H18" i="2"/>
  <c r="H22" i="2"/>
  <c r="H24" i="2"/>
  <c r="H25" i="2"/>
  <c r="H26" i="2"/>
  <c r="H27" i="2"/>
  <c r="H28" i="2"/>
  <c r="H29" i="2"/>
  <c r="H30" i="2"/>
  <c r="H32" i="2"/>
  <c r="H34" i="2"/>
  <c r="H36" i="2"/>
  <c r="H40" i="2"/>
  <c r="H41" i="2"/>
  <c r="H44" i="2"/>
  <c r="H45" i="2"/>
  <c r="H48" i="2"/>
  <c r="H50" i="2"/>
  <c r="H51" i="2"/>
  <c r="H52" i="2"/>
  <c r="H53" i="2"/>
  <c r="H54" i="2"/>
  <c r="H55" i="2"/>
  <c r="H56" i="2"/>
  <c r="H57" i="2"/>
  <c r="H59" i="2"/>
  <c r="H61" i="2"/>
  <c r="H66" i="2"/>
  <c r="H68" i="2"/>
  <c r="H69" i="2"/>
  <c r="H70" i="2"/>
  <c r="H71" i="2"/>
  <c r="H72" i="2"/>
  <c r="H73" i="2"/>
  <c r="H74" i="2"/>
  <c r="H75" i="2"/>
  <c r="H77" i="2"/>
  <c r="H79" i="2"/>
  <c r="H84" i="2"/>
  <c r="H85" i="2"/>
  <c r="H88" i="2"/>
  <c r="H89" i="2"/>
  <c r="H92" i="2"/>
  <c r="H94" i="2"/>
  <c r="H95" i="2"/>
  <c r="H96" i="2"/>
  <c r="H97" i="2"/>
  <c r="H98" i="2"/>
  <c r="H99" i="2"/>
  <c r="H100" i="2"/>
  <c r="H101" i="2"/>
  <c r="H103" i="2"/>
  <c r="H105" i="2"/>
  <c r="H110" i="2"/>
  <c r="H112" i="2"/>
  <c r="H113" i="2"/>
  <c r="H114" i="2"/>
  <c r="H115" i="2"/>
  <c r="H116" i="2"/>
  <c r="H117" i="2"/>
  <c r="H118" i="2"/>
  <c r="H119" i="2"/>
  <c r="H121" i="2"/>
  <c r="H123" i="2"/>
  <c r="H128" i="2"/>
  <c r="H130" i="2"/>
  <c r="H131" i="2"/>
  <c r="H132" i="2"/>
  <c r="H133" i="2"/>
  <c r="H134" i="2"/>
  <c r="H135" i="2"/>
  <c r="H136" i="2"/>
  <c r="H138" i="2"/>
  <c r="H140" i="2"/>
  <c r="H144" i="2"/>
  <c r="H146" i="2"/>
  <c r="H147" i="2"/>
  <c r="H148" i="2"/>
  <c r="H149" i="2"/>
  <c r="H150" i="2"/>
  <c r="H151" i="2"/>
  <c r="H152" i="2"/>
  <c r="H154" i="2"/>
  <c r="H156" i="2"/>
  <c r="H160" i="2"/>
  <c r="H162" i="2"/>
  <c r="H163" i="2"/>
  <c r="H164" i="2"/>
  <c r="H165" i="2"/>
  <c r="H166" i="2"/>
  <c r="H167" i="2"/>
  <c r="H168" i="2"/>
  <c r="H170" i="2"/>
  <c r="H172" i="2"/>
  <c r="D41" i="1" l="1"/>
  <c r="D47" i="1"/>
  <c r="D52" i="1" s="1"/>
  <c r="D49" i="1"/>
  <c r="D54" i="1" s="1"/>
  <c r="D43" i="1"/>
  <c r="F161" i="2"/>
  <c r="E161" i="2"/>
  <c r="F160" i="2"/>
  <c r="E160" i="2"/>
  <c r="F145" i="2"/>
  <c r="E145" i="2"/>
  <c r="F144" i="2"/>
  <c r="E144" i="2"/>
  <c r="F129" i="2"/>
  <c r="E129" i="2"/>
  <c r="F128" i="2"/>
  <c r="E128" i="2"/>
  <c r="F111" i="2"/>
  <c r="E111" i="2"/>
  <c r="F110" i="2"/>
  <c r="E110" i="2"/>
  <c r="F93" i="2"/>
  <c r="E93" i="2"/>
  <c r="F92" i="2"/>
  <c r="E92" i="2"/>
  <c r="E67" i="2"/>
  <c r="F67" i="2"/>
  <c r="F66" i="2"/>
  <c r="E66" i="2"/>
  <c r="E49" i="2"/>
  <c r="E48" i="2"/>
  <c r="F23" i="2"/>
  <c r="F22" i="2"/>
  <c r="F5" i="2"/>
  <c r="D55" i="1" l="1"/>
  <c r="D44" i="1"/>
  <c r="F173" i="2"/>
  <c r="E173" i="2"/>
  <c r="F172" i="2"/>
  <c r="E172" i="2"/>
  <c r="F171" i="2"/>
  <c r="E171" i="2"/>
  <c r="F170" i="2"/>
  <c r="E170" i="2"/>
  <c r="F169" i="2"/>
  <c r="F168" i="2"/>
  <c r="E169" i="2"/>
  <c r="E168" i="2"/>
  <c r="E163" i="2"/>
  <c r="F163" i="2"/>
  <c r="E164" i="2"/>
  <c r="F164" i="2"/>
  <c r="E165" i="2"/>
  <c r="F165" i="2"/>
  <c r="E166" i="2"/>
  <c r="F166" i="2"/>
  <c r="E167" i="2"/>
  <c r="F167" i="2"/>
  <c r="F162" i="2"/>
  <c r="E162" i="2"/>
  <c r="F157" i="2"/>
  <c r="F156" i="2"/>
  <c r="F155" i="2"/>
  <c r="F154" i="2"/>
  <c r="F153" i="2"/>
  <c r="F152" i="2"/>
  <c r="E157" i="2"/>
  <c r="E156" i="2"/>
  <c r="E155" i="2"/>
  <c r="E154" i="2"/>
  <c r="E153" i="2"/>
  <c r="E152" i="2"/>
  <c r="F147" i="2"/>
  <c r="F148" i="2"/>
  <c r="F149" i="2"/>
  <c r="F150" i="2"/>
  <c r="F151" i="2"/>
  <c r="F146" i="2"/>
  <c r="E147" i="2"/>
  <c r="E148" i="2"/>
  <c r="E149" i="2"/>
  <c r="E150" i="2"/>
  <c r="E151" i="2"/>
  <c r="E146" i="2"/>
  <c r="F141" i="2"/>
  <c r="F140" i="2"/>
  <c r="F139" i="2"/>
  <c r="F138" i="2"/>
  <c r="F137" i="2"/>
  <c r="F136" i="2"/>
  <c r="E141" i="2"/>
  <c r="E140" i="2"/>
  <c r="E139" i="2"/>
  <c r="E138" i="2"/>
  <c r="E137" i="2"/>
  <c r="E136" i="2"/>
  <c r="E131" i="2"/>
  <c r="F131" i="2"/>
  <c r="E132" i="2"/>
  <c r="F132" i="2"/>
  <c r="E133" i="2"/>
  <c r="F133" i="2"/>
  <c r="E134" i="2"/>
  <c r="F134" i="2"/>
  <c r="E135" i="2"/>
  <c r="F135" i="2"/>
  <c r="F130" i="2"/>
  <c r="E130" i="2"/>
  <c r="F124" i="2"/>
  <c r="F123" i="2"/>
  <c r="F122" i="2"/>
  <c r="F121" i="2"/>
  <c r="F120" i="2"/>
  <c r="F119" i="2"/>
  <c r="E124" i="2"/>
  <c r="E123" i="2"/>
  <c r="E122" i="2"/>
  <c r="E121" i="2"/>
  <c r="E120" i="2"/>
  <c r="E119" i="2"/>
  <c r="E113" i="2"/>
  <c r="F113" i="2"/>
  <c r="E114" i="2"/>
  <c r="F114" i="2"/>
  <c r="E115" i="2"/>
  <c r="F115" i="2"/>
  <c r="E116" i="2"/>
  <c r="F116" i="2"/>
  <c r="E117" i="2"/>
  <c r="F117" i="2"/>
  <c r="E118" i="2"/>
  <c r="F118" i="2"/>
  <c r="E125" i="2"/>
  <c r="F125" i="2"/>
  <c r="F112" i="2"/>
  <c r="E112" i="2"/>
  <c r="F101" i="2"/>
  <c r="F103" i="2"/>
  <c r="F104" i="2"/>
  <c r="F102" i="2"/>
  <c r="E106" i="2"/>
  <c r="E105" i="2"/>
  <c r="E104" i="2"/>
  <c r="E103" i="2"/>
  <c r="E102" i="2"/>
  <c r="E101" i="2"/>
  <c r="F95" i="2"/>
  <c r="F96" i="2"/>
  <c r="F97" i="2"/>
  <c r="F98" i="2"/>
  <c r="F99" i="2"/>
  <c r="F100" i="2"/>
  <c r="F107" i="2"/>
  <c r="F94" i="2"/>
  <c r="E95" i="2"/>
  <c r="E96" i="2"/>
  <c r="E97" i="2"/>
  <c r="E98" i="2"/>
  <c r="E99" i="2"/>
  <c r="E100" i="2"/>
  <c r="E107" i="2"/>
  <c r="E94" i="2"/>
  <c r="E89" i="2"/>
  <c r="E88" i="2"/>
  <c r="F85" i="2"/>
  <c r="F84" i="2"/>
  <c r="E85" i="2"/>
  <c r="E84" i="2"/>
  <c r="F80" i="2"/>
  <c r="F79" i="2"/>
  <c r="F78" i="2"/>
  <c r="F77" i="2"/>
  <c r="F76" i="2"/>
  <c r="F75" i="2"/>
  <c r="E80" i="2"/>
  <c r="E79" i="2"/>
  <c r="E78" i="2"/>
  <c r="E77" i="2"/>
  <c r="E76" i="2"/>
  <c r="E75" i="2"/>
  <c r="F69" i="2"/>
  <c r="F70" i="2"/>
  <c r="F71" i="2"/>
  <c r="F72" i="2"/>
  <c r="F73" i="2"/>
  <c r="F74" i="2"/>
  <c r="F81" i="2"/>
  <c r="F68" i="2"/>
  <c r="E69" i="2"/>
  <c r="E70" i="2"/>
  <c r="E71" i="2"/>
  <c r="E72" i="2"/>
  <c r="E73" i="2"/>
  <c r="E74" i="2"/>
  <c r="E81" i="2"/>
  <c r="E68" i="2"/>
  <c r="E62" i="2"/>
  <c r="E61" i="2"/>
  <c r="E60" i="2"/>
  <c r="E59" i="2"/>
  <c r="E58" i="2"/>
  <c r="E57" i="2"/>
  <c r="E56" i="2"/>
  <c r="E55" i="2"/>
  <c r="E63" i="2"/>
  <c r="E51" i="2"/>
  <c r="E52" i="2"/>
  <c r="E53" i="2"/>
  <c r="E54" i="2"/>
  <c r="E50" i="2"/>
  <c r="F45" i="2"/>
  <c r="F44" i="2"/>
  <c r="F41" i="2"/>
  <c r="F40" i="2"/>
  <c r="F37" i="2"/>
  <c r="F36" i="2"/>
  <c r="F35" i="2"/>
  <c r="F34" i="2"/>
  <c r="F33" i="2"/>
  <c r="F32" i="2"/>
  <c r="F31" i="2"/>
  <c r="F30" i="2"/>
  <c r="F25" i="2"/>
  <c r="F26" i="2"/>
  <c r="F27" i="2"/>
  <c r="F28" i="2"/>
  <c r="F29" i="2"/>
  <c r="F24" i="2"/>
  <c r="F19" i="2"/>
  <c r="F18" i="2"/>
  <c r="F17" i="2"/>
  <c r="F16" i="2"/>
  <c r="F15" i="2"/>
  <c r="F14" i="2"/>
  <c r="F13" i="2"/>
  <c r="F12" i="2"/>
  <c r="F11" i="2"/>
  <c r="F7" i="2"/>
  <c r="F8" i="2"/>
  <c r="F9" i="2"/>
  <c r="F10" i="2"/>
  <c r="F6" i="2"/>
  <c r="D57" i="1" l="1"/>
  <c r="D63" i="1" s="1"/>
  <c r="D64" i="1" s="1"/>
  <c r="F47" i="2"/>
  <c r="F48" i="2" s="1"/>
  <c r="F59" i="2" l="1"/>
  <c r="F56" i="2"/>
  <c r="F52" i="2"/>
  <c r="F55" i="2"/>
  <c r="F62" i="2"/>
  <c r="F54" i="2"/>
  <c r="F63" i="2"/>
  <c r="F49" i="2"/>
  <c r="F58" i="2"/>
  <c r="F53" i="2"/>
  <c r="F51" i="2"/>
  <c r="F50" i="2"/>
  <c r="F57" i="2"/>
  <c r="F60" i="2"/>
  <c r="F61" i="2"/>
  <c r="F87" i="2"/>
  <c r="F89" i="2" s="1"/>
  <c r="F88" i="2" l="1"/>
</calcChain>
</file>

<file path=xl/sharedStrings.xml><?xml version="1.0" encoding="utf-8"?>
<sst xmlns="http://schemas.openxmlformats.org/spreadsheetml/2006/main" count="532" uniqueCount="182">
  <si>
    <t>Staldtype</t>
  </si>
  <si>
    <t>N2O, % af N</t>
  </si>
  <si>
    <t>NH3, % af TAN ab dyr</t>
  </si>
  <si>
    <t>Gylle</t>
  </si>
  <si>
    <t>Dybstrøelse</t>
  </si>
  <si>
    <t>Sengestald med fast gulv</t>
  </si>
  <si>
    <t>Sengestald med fast drænet gulv</t>
  </si>
  <si>
    <t>kg N</t>
  </si>
  <si>
    <t>Kode dyretype</t>
  </si>
  <si>
    <t>Kode staldsystem</t>
  </si>
  <si>
    <t>Husdyrart og staldtype</t>
  </si>
  <si>
    <t>Gødningstype</t>
  </si>
  <si>
    <t>1 årsko (malkekvæg, tung race)</t>
  </si>
  <si>
    <t>Bindestald med grebning</t>
  </si>
  <si>
    <t>Bindestald med riste</t>
  </si>
  <si>
    <t>gylle</t>
  </si>
  <si>
    <t>Sengestald med spalter (kanal, linespil)</t>
  </si>
  <si>
    <t>Sengestald med spalter (kanal, bagskyl eller ringkanal)</t>
  </si>
  <si>
    <t>Sengestald, fast drænet gulv med skraber og ajleafløb14</t>
  </si>
  <si>
    <t>Dybstrøelse (hele arealet)</t>
  </si>
  <si>
    <t>dybstrøelse</t>
  </si>
  <si>
    <t>Dybstrøelse, lang ædeplads med fast gulv</t>
  </si>
  <si>
    <t>Dybstrøelse, lang ædeplads med spalter (kanal, linespil)</t>
  </si>
  <si>
    <t>Dybstrøelse, lang ædeplads med spalter (kanal, bagskyl eller ringkanal)</t>
  </si>
  <si>
    <t>Dybstrøelse, lang ædeplads, fast drænet gulv med skraber og ajleafløb D</t>
  </si>
  <si>
    <t>1 årsko (malkekvæg, Jersey)</t>
  </si>
  <si>
    <t>fast gødning</t>
  </si>
  <si>
    <t>ajle</t>
  </si>
  <si>
    <t xml:space="preserve">Indhold kg kvælstof i alt  </t>
  </si>
  <si>
    <t>Årsopdræt, 0-6 mdr., småkalv, tung race</t>
  </si>
  <si>
    <t>Dybstrøelse + kort ædeplads med fast gulv</t>
  </si>
  <si>
    <t>Årsopdræt, 0-6 mdr., småkalv, Jersey</t>
  </si>
  <si>
    <t>Sengestald med spaltegulv (kanal, line- spil)</t>
  </si>
  <si>
    <t>Sengestald med spaltegulv (kanal, bagskyl eller ringkanal)</t>
  </si>
  <si>
    <t>Dybstrøelse, hele arealet</t>
  </si>
  <si>
    <t>Spaltegulvbokse</t>
  </si>
  <si>
    <t>Sengestald, fast drænet gulv med skra- ber og ajleafløb *)</t>
  </si>
  <si>
    <t>Årsopdræt 6 mdr. til kælvning (27 mdr) (kvier og stude), tung race</t>
  </si>
  <si>
    <t xml:space="preserve">Årsopdræt 6 mdr. til kælvning (25 mdr) (kvier og stude), jersey </t>
  </si>
  <si>
    <t xml:space="preserve">1 produceret tyrekalv, 0-6 mdr, tung race </t>
  </si>
  <si>
    <t>1 produceret tyrekalv, 0-6 mdr, Jersey</t>
  </si>
  <si>
    <t>Ungtyre, 6 mdr. til slagtning (440 kg), tung race, (1 produceret ungtyr)</t>
  </si>
  <si>
    <t>Ungtyre, 6 mdr. til slagtning (328 kg), Jersey, (1 produceret ungtyr)</t>
  </si>
  <si>
    <t>Ammekøer, 1 årsko under 400 kg</t>
  </si>
  <si>
    <t>Ammekøer, 1 årsko 400-600 kg</t>
  </si>
  <si>
    <t>Ammekøer, 1 årsko over 600 kg</t>
  </si>
  <si>
    <t>Sengestald, fast drænet gulv med skraber og ajleafløb *)</t>
  </si>
  <si>
    <t>Normtal</t>
  </si>
  <si>
    <t>total kg N</t>
  </si>
  <si>
    <t>urin kg N (TAN-N)</t>
  </si>
  <si>
    <t>kg N fra strøelse</t>
  </si>
  <si>
    <t>kg N per kg tørstof =</t>
  </si>
  <si>
    <t>Strøelsesmængde, kg/dag/dyr</t>
  </si>
  <si>
    <t>Metan</t>
  </si>
  <si>
    <t>total kg Vs per år</t>
  </si>
  <si>
    <t>Normtal, ton gødning</t>
  </si>
  <si>
    <t>B0</t>
  </si>
  <si>
    <t>Malkekøer</t>
  </si>
  <si>
    <t>Andre kvæg</t>
  </si>
  <si>
    <t>kg CH4</t>
  </si>
  <si>
    <t>Faktorer</t>
  </si>
  <si>
    <t>kg Vs fra strøelse pr år</t>
  </si>
  <si>
    <t>IPCC, 2006</t>
  </si>
  <si>
    <t>Normtal, AU</t>
  </si>
  <si>
    <t>Reference</t>
  </si>
  <si>
    <t>Fordelingstal til TAN-n</t>
  </si>
  <si>
    <t>Gødningsfordeling</t>
  </si>
  <si>
    <t>100% gyllesystem</t>
  </si>
  <si>
    <t>Nielsen et al. 2020</t>
  </si>
  <si>
    <t>kg TAN N in stable x NH3, % af TAN N / 100 * (1+konstant for teknologi)</t>
  </si>
  <si>
    <t xml:space="preserve">Bindestald med riste </t>
  </si>
  <si>
    <t>kg N ab dyr + kg N strøelse x N2O, % af N / 100</t>
  </si>
  <si>
    <t>NEH_N20 x (44/28) x 298</t>
  </si>
  <si>
    <t>NEH_NH3 x (44/28) x 0,01 x 298</t>
  </si>
  <si>
    <t>Vs gødning ab dyr</t>
  </si>
  <si>
    <t>Vs strøelse</t>
  </si>
  <si>
    <t>NE_CH4 x omregningsfaktor</t>
  </si>
  <si>
    <t>Mælkeydelse, kg EKM produceret</t>
  </si>
  <si>
    <t>Dyregrupper</t>
  </si>
  <si>
    <t>Driftsform</t>
  </si>
  <si>
    <t>foderoptag, kg TS</t>
  </si>
  <si>
    <t>fedtsyre, g/kg TS</t>
  </si>
  <si>
    <t>NDF, g/kg ts</t>
  </si>
  <si>
    <t>Malkekøer, tung race</t>
  </si>
  <si>
    <t>konventionel</t>
  </si>
  <si>
    <t>Y = 0,0009x+13,798</t>
  </si>
  <si>
    <t>y = 0,0014x + 17,444</t>
  </si>
  <si>
    <t>y = -0,006x + 371,64</t>
  </si>
  <si>
    <t>y = 1,230 x Foderoptag - 0,145 x fedtsyre + 0,012 x NDF</t>
  </si>
  <si>
    <t>Staldsystem</t>
  </si>
  <si>
    <t>Lattergas emission i stalden</t>
  </si>
  <si>
    <t>Ammoniak emission i stalden</t>
  </si>
  <si>
    <t>Metan emission i stalden</t>
  </si>
  <si>
    <t>N udskilt ab dyr</t>
  </si>
  <si>
    <t>Kg N i strøelse</t>
  </si>
  <si>
    <t>TAN N udskilt ab dyr</t>
  </si>
  <si>
    <t>Biogas</t>
  </si>
  <si>
    <t>Ammoniak</t>
  </si>
  <si>
    <t>Lattergas</t>
  </si>
  <si>
    <t>kg CO2 eq</t>
  </si>
  <si>
    <t>Omregning fra emissionsgas til CO2 eq</t>
  </si>
  <si>
    <t>IPCC 2006</t>
  </si>
  <si>
    <t>Total emission fra stalden</t>
  </si>
  <si>
    <t>Lattergas + ammoniak + metan</t>
  </si>
  <si>
    <t>kg Vs</t>
  </si>
  <si>
    <t>kg TAN-N</t>
  </si>
  <si>
    <t>kg VS</t>
  </si>
  <si>
    <t>(Vs gødning + vs strøelse/2) x 0,67 x B0 x MCF,% / 100  * (1+konstant for teknologi)</t>
  </si>
  <si>
    <t>Emissioner fra stalden</t>
  </si>
  <si>
    <t>Emissioner fra lageret</t>
  </si>
  <si>
    <t>Lattergas emission i lageret</t>
  </si>
  <si>
    <t>Ammoniak emission i lageret</t>
  </si>
  <si>
    <t>Metan emission i lageret</t>
  </si>
  <si>
    <t xml:space="preserve">kg N gylle ab stald x N2O, % af N / 100 </t>
  </si>
  <si>
    <t>Lager - gyllesystem</t>
  </si>
  <si>
    <t>Gylle med flydelag el. lign.</t>
  </si>
  <si>
    <t>Miljøstyrelsen, besøg 26. nov 2020 - https://mst.dk/erhverv/landbrug/miljoeteknologi-og-bat/teknologilisten/gaa-til-teknologilisten/staldindretning/ - For lagret angives 1 % som fordampning, hvilket er 50 % lavere end gylle med flydelag, som står til at have 2 % ammoniakfordampning af total-N</t>
  </si>
  <si>
    <t>Total emission fra stald og lager</t>
  </si>
  <si>
    <t>Total emission fra stalden + total emissionen fra lageret</t>
  </si>
  <si>
    <t>Klimaaftryk foder pr. kg TS x foderoptag x 365 dage / 1000</t>
  </si>
  <si>
    <t>Klimaaftryk foder, kg CO2 eq pr. dyr</t>
  </si>
  <si>
    <t>Klimaaftryk foder, kg CO2 eq pr. kg TS</t>
  </si>
  <si>
    <t>Vælg staldsystem, evt. virkemiddel og mælkeydelse</t>
  </si>
  <si>
    <t xml:space="preserve">Enterisk metan </t>
  </si>
  <si>
    <t>Total klimaaftryk per kg EKM</t>
  </si>
  <si>
    <t>Mælkeydelse, kg EKM</t>
  </si>
  <si>
    <t>Enterisk metan, MJ CH4</t>
  </si>
  <si>
    <t>* I IPCC 2006 står der at der ikke er nogen lattergas emission fra afgasset gylle. Det samme er gældende når det er ubehandlet gylle. Tilføjes der flydelag til ubehandlet gylle, så stiger lattergas EF til 0,5%. Det må derfor antages afgasset gylle med flydelag også har en EF på 0,5%.</t>
  </si>
  <si>
    <t>Klimaaftryk fra foderproduktionen</t>
  </si>
  <si>
    <t>Biogas eller forsuring</t>
  </si>
  <si>
    <t>Staldforsuring</t>
  </si>
  <si>
    <t>Virkemiddel</t>
  </si>
  <si>
    <t>Virkemidler</t>
  </si>
  <si>
    <t>Total klimaaftryk per ko pr år</t>
  </si>
  <si>
    <t>Emissioner fra stalden (kg CO2 eq)</t>
  </si>
  <si>
    <t>Emissioner fra lageret (kg CO2 eq)</t>
  </si>
  <si>
    <t>Total emission fra lageret</t>
  </si>
  <si>
    <t>MCF for CH4, %</t>
  </si>
  <si>
    <t>Nielsen et al., 2020</t>
  </si>
  <si>
    <t>Olesen el al., 2018</t>
  </si>
  <si>
    <t>*</t>
  </si>
  <si>
    <t>kg TAN N ab stald x NH3, % af TAN N / 100 * (1+konstant for teknologi)</t>
  </si>
  <si>
    <t>Input fra Normtal 2020 - malkeko tung race</t>
  </si>
  <si>
    <t>Beregning af klimaaftrykket fra en konventionel malkeko tung race per år i et staldsystem med gylle</t>
  </si>
  <si>
    <t>Klima, Virkemidler og Normtal for mælkeproduktion</t>
  </si>
  <si>
    <t>Af Martin Øvli Kristensen &amp; Nicolaj Ingemann Nielsen</t>
  </si>
  <si>
    <t>Normtals-modellen kræver følgende inputs:</t>
  </si>
  <si>
    <r>
      <t>-</t>
    </r>
    <r>
      <rPr>
        <sz val="7"/>
        <color theme="1"/>
        <rFont val="Times New Roman"/>
        <family val="1"/>
      </rPr>
      <t xml:space="preserve">       </t>
    </r>
    <r>
      <rPr>
        <sz val="10"/>
        <color theme="1"/>
        <rFont val="Arial"/>
        <family val="2"/>
      </rPr>
      <t>Mælkeydelse per årsko</t>
    </r>
  </si>
  <si>
    <r>
      <t>-</t>
    </r>
    <r>
      <rPr>
        <sz val="7"/>
        <color theme="1"/>
        <rFont val="Times New Roman"/>
        <family val="1"/>
      </rPr>
      <t xml:space="preserve">       </t>
    </r>
    <r>
      <rPr>
        <sz val="10"/>
        <color theme="1"/>
        <rFont val="Arial"/>
        <family val="2"/>
      </rPr>
      <t>Staldsystem</t>
    </r>
  </si>
  <si>
    <r>
      <t>-</t>
    </r>
    <r>
      <rPr>
        <sz val="7"/>
        <color theme="1"/>
        <rFont val="Times New Roman"/>
        <family val="1"/>
      </rPr>
      <t xml:space="preserve">       </t>
    </r>
    <r>
      <rPr>
        <sz val="10"/>
        <color theme="1"/>
        <rFont val="Arial"/>
        <family val="2"/>
      </rPr>
      <t>Mulighed for tilvalg af biogas og forsuring</t>
    </r>
  </si>
  <si>
    <t>Mælkeydelse bestemmer foderoptag, næringsstoffer i rationen og enterisk metan</t>
  </si>
  <si>
    <t xml:space="preserve">Mælkeydelsen anvendes til at bestemme tørstofoptaget og sammen med standard-indholdet af næringsstoffer anvendes dette til at estimere den enteriske metan produktion, som kræver information om TS-optag og rationens indhold af fedtsyrer og fiber (NDF). </t>
  </si>
  <si>
    <t>Emissioner</t>
  </si>
  <si>
    <t>Emissionerne der indgår i modellen er lattergas, ammoniak og metan fra stald og lager, klimaaftrykket fra foderproduktionen og enterisk metan.</t>
  </si>
  <si>
    <t>Klimaaftryk og produktaftryk</t>
  </si>
  <si>
    <t xml:space="preserve">Virkemidler </t>
  </si>
  <si>
    <t>Normtals-modellen omfatter følgende virkemidler:</t>
  </si>
  <si>
    <r>
      <t>-</t>
    </r>
    <r>
      <rPr>
        <sz val="7"/>
        <color theme="1"/>
        <rFont val="Times New Roman"/>
        <family val="1"/>
      </rPr>
      <t xml:space="preserve">       </t>
    </r>
    <r>
      <rPr>
        <sz val="10"/>
        <color theme="1"/>
        <rFont val="Arial"/>
        <family val="2"/>
      </rPr>
      <t>Biogas</t>
    </r>
  </si>
  <si>
    <r>
      <t>-</t>
    </r>
    <r>
      <rPr>
        <sz val="7"/>
        <color theme="1"/>
        <rFont val="Times New Roman"/>
        <family val="1"/>
      </rPr>
      <t xml:space="preserve">       </t>
    </r>
    <r>
      <rPr>
        <sz val="10"/>
        <color theme="1"/>
        <rFont val="Arial"/>
        <family val="2"/>
      </rPr>
      <t xml:space="preserve">Forsuring </t>
    </r>
  </si>
  <si>
    <r>
      <t>-</t>
    </r>
    <r>
      <rPr>
        <sz val="7"/>
        <color theme="1"/>
        <rFont val="Times New Roman"/>
        <family val="1"/>
      </rPr>
      <t xml:space="preserve">       </t>
    </r>
    <r>
      <rPr>
        <sz val="10"/>
        <color theme="1"/>
        <rFont val="Arial"/>
        <family val="2"/>
      </rPr>
      <t>Fodereffektivitet</t>
    </r>
  </si>
  <si>
    <r>
      <t>-</t>
    </r>
    <r>
      <rPr>
        <sz val="7"/>
        <color theme="1"/>
        <rFont val="Times New Roman"/>
        <family val="1"/>
      </rPr>
      <t xml:space="preserve">       </t>
    </r>
    <r>
      <rPr>
        <sz val="10"/>
        <color theme="1"/>
        <rFont val="Arial"/>
        <family val="2"/>
      </rPr>
      <t>Fedt i foder</t>
    </r>
  </si>
  <si>
    <r>
      <t>-</t>
    </r>
    <r>
      <rPr>
        <sz val="7"/>
        <color theme="1"/>
        <rFont val="Times New Roman"/>
        <family val="1"/>
      </rPr>
      <t xml:space="preserve">       </t>
    </r>
    <r>
      <rPr>
        <sz val="10"/>
        <color theme="1"/>
        <rFont val="Arial"/>
        <family val="2"/>
      </rPr>
      <t xml:space="preserve">NDF i foder </t>
    </r>
  </si>
  <si>
    <t>I nedenstående tabel 1 er vist en scenarieberegning på en årsko med 11.500 kg EKM, som estimeres til at have et total klimaaftryk på 10731 kg CO2-eq/år.</t>
  </si>
  <si>
    <r>
      <t>Tabel 1.</t>
    </r>
    <r>
      <rPr>
        <sz val="10"/>
        <color theme="1"/>
        <rFont val="Arial"/>
        <family val="2"/>
      </rPr>
      <t xml:space="preserve"> Effekt af virkemidler på en standard ko af stor race </t>
    </r>
  </si>
  <si>
    <t xml:space="preserve">% reduktion </t>
  </si>
  <si>
    <t>Effekt på ammoniak (indirekte lattergas)</t>
  </si>
  <si>
    <t>Effekt på metan</t>
  </si>
  <si>
    <r>
      <t>Foderniveau</t>
    </r>
    <r>
      <rPr>
        <sz val="11"/>
        <color rgb="FF000000"/>
        <rFont val="Calibri"/>
        <family val="2"/>
      </rPr>
      <t xml:space="preserve"> - fra 24,1 til 23,1 kg TS/ko/dag</t>
    </r>
  </si>
  <si>
    <r>
      <t xml:space="preserve">Fedt </t>
    </r>
    <r>
      <rPr>
        <sz val="11"/>
        <color rgb="FF000000"/>
        <rFont val="Calibri"/>
        <family val="2"/>
      </rPr>
      <t>- fra 33 g til 45 g fedtsyrer/kg TS</t>
    </r>
  </si>
  <si>
    <r>
      <t xml:space="preserve">NDF </t>
    </r>
    <r>
      <rPr>
        <sz val="11"/>
        <color rgb="FF000000"/>
        <rFont val="Calibri"/>
        <family val="2"/>
      </rPr>
      <t>- fra 302 til 275 g/kg TS</t>
    </r>
  </si>
  <si>
    <t xml:space="preserve">I denne database er der udarbejdet et regnearksmodul for hvordan klimaaftrykket på mælk fra malkekøer kan beregnes. Der tages udgangspunkt i at mælkeydelsen kendes og på baggrund af omfattende ’Foderkontroller’ fra danske kommercielle besætninger (n≈2000) anvendes normtal til beregning af foderrationens sammensætning, både mht. fodermidler og næringsstoffer. </t>
  </si>
  <si>
    <t xml:space="preserve">Inputs </t>
  </si>
  <si>
    <t>Beskrivelse af regnearket</t>
  </si>
  <si>
    <t>Kg CO2 eq</t>
  </si>
  <si>
    <t>Fane 3: 'Normtal - kg N pr dyr-staldtype' er et dataark hvor normtal er samlet på baggrund af opgørelserne fra Aarhus Universitet. Tallene opdateres hvert år og bør derfor også opdateres her, for at have de nyeste tal.</t>
  </si>
  <si>
    <t>Enterisk metan, kg CH4</t>
  </si>
  <si>
    <t>Enterisk metan, kg CO2 eq</t>
  </si>
  <si>
    <t>Fane 1: 'Klimaaftryk - årsko' er et beregningsark hvor klimaaftrykket beregnes fra en standard dansk konventionel malkeko af stor race i et staldsystem med gylle. I fanen er der tre felter (markeret med grønt) som man skal udfylde. 1. Hvilket staldsystem man har 2. Om der anvendes staldforsuring eller gyllen leveres til biogas 3. Mælkeydelse pr. årsko opgivet i kg EKM. I fanen er samtidig vist hvilke emissionsfaktorer der anvendes for lattergas, ammoniak og metan. Disse skal opdateres, når IPCC opdaterer0 deres tal eller når der kommer nationale tal. Dette forventes ikke at være ret ofte.</t>
  </si>
  <si>
    <t xml:space="preserve">Fane 2: 'Klimaaftryk-Foder &amp; enteriskCH4' er et beregningsark hvor man har mulighed for at ændre foderoptagelsen, samt rationens indhold af fedtsyre og NDF. Det er muligt, at ændre på disse tre parametre, da de har betydning for koens udledning af enterisk metan. Som default værdi er der udregnet værdier for foderoptag, fedtsyre og NDF på baggrund af den indtastet mælkeydelse i fane 1. Default tallene kan opdateres hvert år, da der kommer nye registreringer omkring årets fodring fra de besætninger der anvender foderkontroller i DMS. Den årlige variation er imidlertid begrænset, så derfor vil det ikke være nødvendigt at opdatere tallene hvert år. Hver andet til tredje år vil være tilstrækkeligt. </t>
  </si>
  <si>
    <t>På baggrund af informationerne beregnes et klimaaftryk per ko og per kg EKM, dvs et produktaftryk på mælk ab gård. Hertil anvendes en allokeringsfaktor på 0,86 mellem mælk og oksekød</t>
  </si>
  <si>
    <t xml:space="preserve">Opgaven med udvikling af databasen for miljø- og klimanormtal for kvæg/mælkeproduktion er for nuværende afsluttet (dec. 2020). Normtals-databasen vil dog fortsat blive optimeret, vedligeholdt og udvidet i det omfang normdata ændres eller nyere forskning på området udgives. Databasen vil desuden erstattes af realdata på bedriftsniveau, hvor dette er muligt, ved beregninger på bedriftsniveau. Der er i skrivende stund ikke etableret en driftsmodel for optimering og vedligehold af databasen. </t>
  </si>
  <si>
    <t xml:space="preserve">Forord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</si>
</sst>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00"/>
    <numFmt numFmtId="167" formatCode="0.0%"/>
  </numFmts>
  <fonts count="18" x14ac:knownFonts="1">
    <font>
      <sz val="11"/>
      <color theme="1"/>
      <name val="Calibri"/>
      <family val="2"/>
      <scheme val="minor"/>
    </font>
    <font>
      <sz val="10"/>
      <color theme="1"/>
      <name val="Arial"/>
      <family val="2"/>
    </font>
    <font>
      <b/>
      <sz val="9"/>
      <color theme="1"/>
      <name val="Arial"/>
      <family val="2"/>
    </font>
    <font>
      <sz val="9"/>
      <name val="Arial"/>
      <family val="2"/>
    </font>
    <font>
      <b/>
      <sz val="11"/>
      <color theme="1"/>
      <name val="Calibri"/>
      <family val="2"/>
      <scheme val="minor"/>
    </font>
    <font>
      <b/>
      <sz val="12"/>
      <color theme="1"/>
      <name val="Calibri"/>
      <family val="2"/>
      <scheme val="minor"/>
    </font>
    <font>
      <sz val="11"/>
      <name val="Calibri"/>
      <family val="2"/>
      <scheme val="minor"/>
    </font>
    <font>
      <b/>
      <sz val="11"/>
      <name val="Calibri"/>
      <family val="2"/>
      <scheme val="minor"/>
    </font>
    <font>
      <b/>
      <sz val="12"/>
      <name val="Calibri"/>
      <family val="2"/>
      <scheme val="minor"/>
    </font>
    <font>
      <sz val="11"/>
      <color theme="0"/>
      <name val="Calibri"/>
      <family val="2"/>
      <scheme val="minor"/>
    </font>
    <font>
      <sz val="11"/>
      <color rgb="FFFF0000"/>
      <name val="Calibri"/>
      <family val="2"/>
      <scheme val="minor"/>
    </font>
    <font>
      <b/>
      <sz val="10"/>
      <color theme="1"/>
      <name val="Arial"/>
      <family val="2"/>
    </font>
    <font>
      <b/>
      <sz val="16"/>
      <color theme="1"/>
      <name val="Arial"/>
      <family val="2"/>
    </font>
    <font>
      <b/>
      <sz val="12"/>
      <color theme="1"/>
      <name val="Arial"/>
      <family val="2"/>
    </font>
    <font>
      <sz val="7"/>
      <color theme="1"/>
      <name val="Times New Roman"/>
      <family val="1"/>
    </font>
    <font>
      <sz val="10"/>
      <color theme="1"/>
      <name val="Times New Roman"/>
      <family val="1"/>
    </font>
    <font>
      <sz val="11"/>
      <color rgb="FF000000"/>
      <name val="Calibri"/>
      <family val="2"/>
    </font>
    <font>
      <b/>
      <sz val="11"/>
      <color rgb="FF000000"/>
      <name val="Calibri"/>
      <family val="2"/>
    </font>
  </fonts>
  <fills count="5">
    <fill>
      <patternFill patternType="none"/>
    </fill>
    <fill>
      <patternFill patternType="gray125"/>
    </fill>
    <fill>
      <patternFill patternType="solid">
        <fgColor rgb="FF88CC00"/>
        <bgColor indexed="64"/>
      </patternFill>
    </fill>
    <fill>
      <patternFill patternType="solid">
        <fgColor rgb="FFFFFF00"/>
        <bgColor indexed="64"/>
      </patternFill>
    </fill>
    <fill>
      <patternFill patternType="solid">
        <fgColor theme="0" tint="-0.14999847407452621"/>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121">
    <xf numFmtId="0" fontId="0" fillId="0" borderId="0" xfId="0"/>
    <xf numFmtId="0" fontId="1" fillId="0" borderId="0" xfId="0" applyFont="1"/>
    <xf numFmtId="0" fontId="2" fillId="0" borderId="1" xfId="0" applyFont="1" applyBorder="1"/>
    <xf numFmtId="0" fontId="0" fillId="0" borderId="2" xfId="0" applyBorder="1"/>
    <xf numFmtId="0" fontId="0" fillId="0" borderId="3" xfId="0" applyBorder="1"/>
    <xf numFmtId="0" fontId="0" fillId="0" borderId="0" xfId="0" applyBorder="1"/>
    <xf numFmtId="0" fontId="0" fillId="0" borderId="4" xfId="0" applyBorder="1"/>
    <xf numFmtId="0" fontId="0" fillId="0" borderId="0" xfId="0" applyFill="1" applyBorder="1"/>
    <xf numFmtId="0" fontId="0" fillId="0" borderId="5" xfId="0" applyFill="1" applyBorder="1"/>
    <xf numFmtId="0" fontId="0" fillId="0" borderId="6" xfId="0" applyBorder="1"/>
    <xf numFmtId="0" fontId="0" fillId="0" borderId="7" xfId="0" applyBorder="1"/>
    <xf numFmtId="0" fontId="4" fillId="0" borderId="0" xfId="0" applyFont="1"/>
    <xf numFmtId="0" fontId="4" fillId="0" borderId="8" xfId="0" applyFont="1" applyBorder="1"/>
    <xf numFmtId="0" fontId="0" fillId="0" borderId="9" xfId="0" applyBorder="1"/>
    <xf numFmtId="0" fontId="0" fillId="0" borderId="10" xfId="0" applyBorder="1"/>
    <xf numFmtId="2" fontId="0" fillId="0" borderId="0" xfId="0" applyNumberFormat="1" applyBorder="1"/>
    <xf numFmtId="0" fontId="0" fillId="0" borderId="0" xfId="0" applyBorder="1" applyAlignment="1">
      <alignment wrapText="1"/>
    </xf>
    <xf numFmtId="0" fontId="0" fillId="0" borderId="12" xfId="0" applyBorder="1"/>
    <xf numFmtId="0" fontId="0" fillId="0" borderId="0" xfId="0" applyBorder="1" applyAlignment="1">
      <alignment horizontal="left" wrapText="1"/>
    </xf>
    <xf numFmtId="0" fontId="0" fillId="0" borderId="0" xfId="0" applyBorder="1" applyAlignment="1">
      <alignment horizontal="left"/>
    </xf>
    <xf numFmtId="0" fontId="0" fillId="0" borderId="12" xfId="0" applyBorder="1" applyAlignment="1">
      <alignment horizontal="left"/>
    </xf>
    <xf numFmtId="0" fontId="0" fillId="0" borderId="11" xfId="0" applyBorder="1"/>
    <xf numFmtId="0" fontId="0" fillId="0" borderId="14" xfId="0" applyBorder="1"/>
    <xf numFmtId="0" fontId="0" fillId="0" borderId="15" xfId="0" applyBorder="1"/>
    <xf numFmtId="0" fontId="0" fillId="0" borderId="8" xfId="0" applyBorder="1"/>
    <xf numFmtId="0" fontId="4" fillId="0" borderId="9" xfId="0" applyFont="1" applyBorder="1"/>
    <xf numFmtId="0" fontId="0" fillId="0" borderId="9" xfId="0" applyBorder="1" applyAlignment="1">
      <alignment horizontal="left"/>
    </xf>
    <xf numFmtId="0" fontId="0" fillId="0" borderId="10" xfId="0" applyBorder="1" applyAlignment="1">
      <alignment horizontal="left"/>
    </xf>
    <xf numFmtId="0" fontId="0" fillId="0" borderId="13" xfId="0" applyBorder="1"/>
    <xf numFmtId="0" fontId="0" fillId="0" borderId="14" xfId="0" applyBorder="1" applyAlignment="1">
      <alignment horizontal="left"/>
    </xf>
    <xf numFmtId="0" fontId="0" fillId="0" borderId="15" xfId="0" applyBorder="1" applyAlignment="1">
      <alignment horizontal="left"/>
    </xf>
    <xf numFmtId="0" fontId="0" fillId="0" borderId="0" xfId="0" applyBorder="1" applyAlignment="1">
      <alignment horizontal="left" wrapText="1"/>
    </xf>
    <xf numFmtId="0" fontId="0" fillId="0" borderId="12" xfId="0" applyBorder="1" applyAlignment="1">
      <alignment horizontal="left" wrapText="1"/>
    </xf>
    <xf numFmtId="0" fontId="0" fillId="0" borderId="14" xfId="0" applyFill="1" applyBorder="1" applyAlignment="1">
      <alignment wrapText="1"/>
    </xf>
    <xf numFmtId="0" fontId="0" fillId="0" borderId="0" xfId="0" applyBorder="1" applyAlignment="1">
      <alignment horizontal="left" wrapText="1"/>
    </xf>
    <xf numFmtId="0" fontId="0" fillId="0" borderId="12" xfId="0" applyBorder="1" applyAlignment="1">
      <alignment horizontal="left" wrapText="1"/>
    </xf>
    <xf numFmtId="0" fontId="4" fillId="0" borderId="16" xfId="0" applyFont="1" applyBorder="1"/>
    <xf numFmtId="0" fontId="0" fillId="2" borderId="17" xfId="0" applyFill="1" applyBorder="1" applyAlignment="1">
      <alignment horizontal="left"/>
    </xf>
    <xf numFmtId="0" fontId="0" fillId="2" borderId="18" xfId="0" applyFill="1" applyBorder="1" applyAlignment="1">
      <alignment horizontal="left"/>
    </xf>
    <xf numFmtId="0" fontId="0" fillId="0" borderId="0" xfId="0" applyFill="1" applyBorder="1" applyAlignment="1">
      <alignment wrapText="1"/>
    </xf>
    <xf numFmtId="0" fontId="0" fillId="0" borderId="12" xfId="0" applyBorder="1" applyAlignment="1">
      <alignment horizontal="left" wrapText="1"/>
    </xf>
    <xf numFmtId="2" fontId="0" fillId="0" borderId="0" xfId="0" applyNumberFormat="1"/>
    <xf numFmtId="0" fontId="4" fillId="0" borderId="10" xfId="0" applyFont="1" applyBorder="1"/>
    <xf numFmtId="0" fontId="0" fillId="2" borderId="18" xfId="0" applyFill="1" applyBorder="1"/>
    <xf numFmtId="0" fontId="0" fillId="0" borderId="20" xfId="0" applyBorder="1"/>
    <xf numFmtId="164" fontId="0" fillId="0" borderId="0" xfId="0" applyNumberFormat="1"/>
    <xf numFmtId="0" fontId="0" fillId="0" borderId="19" xfId="0" applyBorder="1"/>
    <xf numFmtId="0" fontId="0" fillId="2" borderId="16" xfId="0" applyFill="1" applyBorder="1"/>
    <xf numFmtId="165" fontId="0" fillId="0" borderId="17" xfId="0" applyNumberFormat="1" applyBorder="1"/>
    <xf numFmtId="0" fontId="0" fillId="0" borderId="21" xfId="0" applyBorder="1"/>
    <xf numFmtId="0" fontId="0" fillId="0" borderId="3" xfId="0" applyFill="1" applyBorder="1"/>
    <xf numFmtId="9" fontId="0" fillId="0" borderId="6" xfId="0" applyNumberFormat="1" applyBorder="1"/>
    <xf numFmtId="0" fontId="0" fillId="0" borderId="16" xfId="0" applyBorder="1"/>
    <xf numFmtId="0" fontId="0" fillId="0" borderId="18" xfId="0" applyBorder="1"/>
    <xf numFmtId="0" fontId="0" fillId="2" borderId="0" xfId="0" applyFill="1" applyBorder="1"/>
    <xf numFmtId="0" fontId="0" fillId="3" borderId="17" xfId="0" applyFill="1" applyBorder="1" applyAlignment="1">
      <alignment horizontal="left"/>
    </xf>
    <xf numFmtId="0" fontId="0" fillId="0" borderId="0" xfId="0" applyFont="1"/>
    <xf numFmtId="0" fontId="0" fillId="0" borderId="10" xfId="0" applyFill="1" applyBorder="1"/>
    <xf numFmtId="9" fontId="0" fillId="0" borderId="0" xfId="0" applyNumberFormat="1" applyBorder="1"/>
    <xf numFmtId="0" fontId="4" fillId="0" borderId="3" xfId="0" applyFont="1" applyBorder="1"/>
    <xf numFmtId="0" fontId="6" fillId="0" borderId="0" xfId="0" applyFont="1"/>
    <xf numFmtId="0" fontId="9" fillId="0" borderId="0" xfId="0" applyFont="1" applyBorder="1"/>
    <xf numFmtId="0" fontId="9" fillId="0" borderId="0" xfId="0" applyFont="1" applyBorder="1" applyAlignment="1">
      <alignment wrapText="1"/>
    </xf>
    <xf numFmtId="0" fontId="9" fillId="0" borderId="0" xfId="0" applyFont="1" applyFill="1" applyBorder="1"/>
    <xf numFmtId="0" fontId="8" fillId="0" borderId="1" xfId="0" applyFont="1" applyFill="1" applyBorder="1"/>
    <xf numFmtId="0" fontId="8" fillId="0" borderId="3" xfId="0" applyFont="1" applyFill="1" applyBorder="1"/>
    <xf numFmtId="0" fontId="6" fillId="0" borderId="3" xfId="0" applyFont="1" applyFill="1" applyBorder="1"/>
    <xf numFmtId="0" fontId="7" fillId="0" borderId="3" xfId="0" applyFont="1" applyFill="1" applyBorder="1"/>
    <xf numFmtId="2" fontId="0" fillId="0" borderId="4" xfId="0" applyNumberFormat="1" applyBorder="1"/>
    <xf numFmtId="164" fontId="0" fillId="0" borderId="4" xfId="0" applyNumberFormat="1" applyBorder="1"/>
    <xf numFmtId="0" fontId="0" fillId="0" borderId="3" xfId="0" applyFont="1" applyBorder="1"/>
    <xf numFmtId="0" fontId="6" fillId="0" borderId="3" xfId="0" applyFont="1" applyBorder="1"/>
    <xf numFmtId="0" fontId="3" fillId="0" borderId="3" xfId="0" applyFont="1" applyBorder="1"/>
    <xf numFmtId="0" fontId="7" fillId="0" borderId="3" xfId="0" applyFont="1" applyBorder="1"/>
    <xf numFmtId="1" fontId="0" fillId="0" borderId="4" xfId="0" applyNumberFormat="1" applyBorder="1"/>
    <xf numFmtId="0" fontId="7" fillId="0" borderId="5" xfId="0" applyFont="1" applyBorder="1"/>
    <xf numFmtId="2" fontId="0" fillId="0" borderId="7" xfId="0" applyNumberFormat="1" applyBorder="1"/>
    <xf numFmtId="0" fontId="0" fillId="0" borderId="0" xfId="0" applyFill="1"/>
    <xf numFmtId="0" fontId="0" fillId="0" borderId="0" xfId="0" quotePrefix="1" applyFill="1"/>
    <xf numFmtId="3" fontId="0" fillId="0" borderId="0" xfId="0" applyNumberFormat="1" applyFill="1"/>
    <xf numFmtId="0" fontId="6" fillId="0" borderId="0" xfId="0" applyFont="1" applyFill="1"/>
    <xf numFmtId="0" fontId="4" fillId="0" borderId="3" xfId="0" applyFont="1" applyFill="1" applyBorder="1"/>
    <xf numFmtId="1" fontId="0" fillId="0" borderId="0" xfId="0" applyNumberFormat="1" applyBorder="1"/>
    <xf numFmtId="9" fontId="0" fillId="0" borderId="0" xfId="0" applyNumberFormat="1" applyFill="1" applyBorder="1"/>
    <xf numFmtId="0" fontId="0" fillId="0" borderId="21" xfId="0" applyFill="1" applyBorder="1"/>
    <xf numFmtId="0" fontId="0" fillId="0" borderId="22" xfId="0" applyBorder="1"/>
    <xf numFmtId="9" fontId="0" fillId="0" borderId="14" xfId="0" applyNumberFormat="1" applyBorder="1"/>
    <xf numFmtId="0" fontId="0" fillId="0" borderId="23" xfId="0" applyBorder="1"/>
    <xf numFmtId="0" fontId="10" fillId="0" borderId="0" xfId="0" applyFont="1" applyBorder="1"/>
    <xf numFmtId="166" fontId="0" fillId="0" borderId="0" xfId="0" applyNumberFormat="1" applyBorder="1"/>
    <xf numFmtId="167" fontId="0" fillId="0" borderId="0" xfId="0" applyNumberFormat="1" applyBorder="1"/>
    <xf numFmtId="164" fontId="0" fillId="0" borderId="0" xfId="0" applyNumberFormat="1" applyBorder="1"/>
    <xf numFmtId="0" fontId="6" fillId="0" borderId="0" xfId="0" applyFont="1" applyBorder="1"/>
    <xf numFmtId="1" fontId="6" fillId="0" borderId="0" xfId="0" applyNumberFormat="1" applyFont="1" applyBorder="1"/>
    <xf numFmtId="0" fontId="9" fillId="0" borderId="0" xfId="0" applyFont="1"/>
    <xf numFmtId="0" fontId="0" fillId="0" borderId="0" xfId="0" applyFont="1" applyBorder="1"/>
    <xf numFmtId="0" fontId="1" fillId="0" borderId="0" xfId="0" applyFont="1" applyAlignment="1">
      <alignment vertical="center"/>
    </xf>
    <xf numFmtId="0" fontId="0" fillId="0" borderId="0" xfId="0" applyAlignment="1">
      <alignment horizontal="left" vertical="top" wrapText="1"/>
    </xf>
    <xf numFmtId="0" fontId="0" fillId="0" borderId="0" xfId="0" applyAlignment="1">
      <alignment wrapText="1"/>
    </xf>
    <xf numFmtId="0" fontId="12" fillId="0" borderId="0" xfId="0" applyFont="1" applyAlignment="1">
      <alignment vertical="top" wrapText="1"/>
    </xf>
    <xf numFmtId="0" fontId="16" fillId="4" borderId="1" xfId="0" applyFont="1" applyFill="1" applyBorder="1" applyAlignment="1">
      <alignment vertical="center"/>
    </xf>
    <xf numFmtId="0" fontId="17" fillId="4" borderId="3" xfId="0" applyFont="1" applyFill="1" applyBorder="1" applyAlignment="1">
      <alignment vertical="center"/>
    </xf>
    <xf numFmtId="0" fontId="16" fillId="4" borderId="3" xfId="0" applyFont="1" applyFill="1" applyBorder="1" applyAlignment="1">
      <alignment vertical="center"/>
    </xf>
    <xf numFmtId="0" fontId="16" fillId="4" borderId="5" xfId="0" applyFont="1" applyFill="1" applyBorder="1" applyAlignment="1">
      <alignment vertical="center"/>
    </xf>
    <xf numFmtId="0" fontId="16" fillId="4" borderId="2" xfId="0" applyFont="1" applyFill="1" applyBorder="1" applyAlignment="1">
      <alignment horizontal="center" vertical="center"/>
    </xf>
    <xf numFmtId="0" fontId="16" fillId="4" borderId="21" xfId="0" applyFont="1" applyFill="1" applyBorder="1" applyAlignment="1">
      <alignment horizontal="center" vertical="center"/>
    </xf>
    <xf numFmtId="0" fontId="15" fillId="4" borderId="0" xfId="0" applyFont="1" applyFill="1" applyAlignment="1">
      <alignment horizontal="center"/>
    </xf>
    <xf numFmtId="10" fontId="16" fillId="4" borderId="4" xfId="0" applyNumberFormat="1" applyFont="1" applyFill="1" applyBorder="1" applyAlignment="1">
      <alignment horizontal="center" vertical="center"/>
    </xf>
    <xf numFmtId="0" fontId="16" fillId="4" borderId="0" xfId="0" applyFont="1" applyFill="1" applyAlignment="1">
      <alignment horizontal="center" vertical="center"/>
    </xf>
    <xf numFmtId="0" fontId="16" fillId="4" borderId="4"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3" fillId="4" borderId="0" xfId="0" applyFont="1" applyFill="1" applyAlignment="1">
      <alignment horizontal="left" vertical="top" wrapText="1"/>
    </xf>
    <xf numFmtId="0" fontId="11" fillId="4" borderId="0" xfId="0" applyFont="1" applyFill="1" applyAlignment="1">
      <alignment horizontal="left" wrapText="1"/>
    </xf>
    <xf numFmtId="0" fontId="12" fillId="4" borderId="0" xfId="0" applyFont="1" applyFill="1" applyAlignment="1">
      <alignment horizontal="left" vertical="top" wrapText="1"/>
    </xf>
    <xf numFmtId="0" fontId="1" fillId="4" borderId="0" xfId="0" applyFont="1" applyFill="1" applyAlignment="1">
      <alignment horizontal="left" vertical="top" wrapText="1"/>
    </xf>
    <xf numFmtId="0" fontId="11" fillId="4" borderId="0" xfId="0" applyFont="1" applyFill="1" applyAlignment="1">
      <alignment horizontal="left" vertical="top" wrapText="1"/>
    </xf>
    <xf numFmtId="0" fontId="13" fillId="4" borderId="0" xfId="0" applyFont="1" applyFill="1" applyAlignment="1">
      <alignment horizontal="left" vertical="top" wrapText="1"/>
    </xf>
    <xf numFmtId="0" fontId="11" fillId="4" borderId="6" xfId="0" applyFont="1" applyFill="1" applyBorder="1" applyAlignment="1">
      <alignment horizontal="center" vertical="center" wrapText="1"/>
    </xf>
    <xf numFmtId="0" fontId="1" fillId="4" borderId="0" xfId="0" applyFont="1" applyFill="1" applyAlignment="1">
      <alignment horizontal="center" vertical="center" wrapText="1"/>
    </xf>
    <xf numFmtId="0" fontId="5"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88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1385748</xdr:colOff>
      <xdr:row>0</xdr:row>
      <xdr:rowOff>110238</xdr:rowOff>
    </xdr:from>
    <xdr:to>
      <xdr:col>4</xdr:col>
      <xdr:colOff>4245190</xdr:colOff>
      <xdr:row>2</xdr:row>
      <xdr:rowOff>12700</xdr:rowOff>
    </xdr:to>
    <xdr:pic>
      <xdr:nvPicPr>
        <xdr:cNvPr id="3" name="Billede 2">
          <a:extLst>
            <a:ext uri="{FF2B5EF4-FFF2-40B4-BE49-F238E27FC236}">
              <a16:creationId xmlns:a16="http://schemas.microsoft.com/office/drawing/2014/main" id="{0F5F71CF-82FD-4AD0-8740-997A4F8C8B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14948" y="110238"/>
          <a:ext cx="2859442" cy="359662"/>
        </a:xfrm>
        <a:prstGeom prst="rect">
          <a:avLst/>
        </a:prstGeom>
      </xdr:spPr>
    </xdr:pic>
    <xdr:clientData/>
  </xdr:twoCellAnchor>
</xdr:wsDr>
</file>

<file path=xl/theme/theme1.xml><?xml version="1.0" encoding="utf-8"?>
<a:theme xmlns:a="http://schemas.openxmlformats.org/drawingml/2006/main" name="Kontortema">
  <a:themeElements>
    <a:clrScheme name="SEGES">
      <a:dk1>
        <a:srgbClr val="000000"/>
      </a:dk1>
      <a:lt1>
        <a:sysClr val="window" lastClr="FFFFFF"/>
      </a:lt1>
      <a:dk2>
        <a:srgbClr val="09562C"/>
      </a:dk2>
      <a:lt2>
        <a:srgbClr val="E7E5DB"/>
      </a:lt2>
      <a:accent1>
        <a:srgbClr val="076471"/>
      </a:accent1>
      <a:accent2>
        <a:srgbClr val="C8C7B2"/>
      </a:accent2>
      <a:accent3>
        <a:srgbClr val="9DDCF9"/>
      </a:accent3>
      <a:accent4>
        <a:srgbClr val="7C9877"/>
      </a:accent4>
      <a:accent5>
        <a:srgbClr val="338291"/>
      </a:accent5>
      <a:accent6>
        <a:srgbClr val="E95D0F"/>
      </a:accent6>
      <a:hlink>
        <a:srgbClr val="076471"/>
      </a:hlink>
      <a:folHlink>
        <a:srgbClr val="E95D0F"/>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61771-A894-418E-BEC5-74D26458FD96}">
  <dimension ref="A1:F54"/>
  <sheetViews>
    <sheetView tabSelected="1" workbookViewId="0">
      <selection sqref="A1:E1"/>
    </sheetView>
  </sheetViews>
  <sheetFormatPr defaultRowHeight="15" x14ac:dyDescent="0.25"/>
  <cols>
    <col min="1" max="1" width="48" customWidth="1"/>
    <col min="5" max="5" width="68.140625" customWidth="1"/>
  </cols>
  <sheetData>
    <row r="1" spans="1:6" ht="20.25" customHeight="1" x14ac:dyDescent="0.25">
      <c r="A1" s="114" t="s">
        <v>144</v>
      </c>
      <c r="B1" s="114"/>
      <c r="C1" s="114"/>
      <c r="D1" s="114"/>
      <c r="E1" s="114"/>
      <c r="F1" s="99"/>
    </row>
    <row r="2" spans="1:6" ht="15.75" x14ac:dyDescent="0.25">
      <c r="A2" s="117"/>
      <c r="B2" s="117"/>
      <c r="C2" s="117"/>
      <c r="D2" s="117"/>
      <c r="E2" s="117"/>
      <c r="F2" s="97"/>
    </row>
    <row r="3" spans="1:6" ht="34.5" customHeight="1" x14ac:dyDescent="0.25">
      <c r="A3" s="117" t="s">
        <v>145</v>
      </c>
      <c r="B3" s="117"/>
      <c r="C3" s="117"/>
      <c r="D3" s="117"/>
      <c r="E3" s="117"/>
      <c r="F3" s="97"/>
    </row>
    <row r="4" spans="1:6" ht="34.5" customHeight="1" x14ac:dyDescent="0.25">
      <c r="A4" s="113" t="s">
        <v>181</v>
      </c>
      <c r="B4" s="112"/>
      <c r="C4" s="112"/>
      <c r="D4" s="112"/>
      <c r="E4" s="112"/>
      <c r="F4" s="97"/>
    </row>
    <row r="5" spans="1:6" ht="60.75" customHeight="1" x14ac:dyDescent="0.25">
      <c r="A5" s="115" t="s">
        <v>180</v>
      </c>
      <c r="B5" s="115"/>
      <c r="C5" s="115"/>
      <c r="D5" s="115"/>
      <c r="E5" s="115"/>
      <c r="F5" s="97"/>
    </row>
    <row r="6" spans="1:6" ht="54.75" customHeight="1" x14ac:dyDescent="0.25">
      <c r="A6" s="115" t="s">
        <v>170</v>
      </c>
      <c r="B6" s="115"/>
      <c r="C6" s="115"/>
      <c r="D6" s="115"/>
      <c r="E6" s="115"/>
      <c r="F6" s="97"/>
    </row>
    <row r="7" spans="1:6" ht="15.75" customHeight="1" x14ac:dyDescent="0.25">
      <c r="A7" s="116" t="s">
        <v>172</v>
      </c>
      <c r="B7" s="116"/>
      <c r="C7" s="116"/>
      <c r="D7" s="116"/>
      <c r="E7" s="116"/>
      <c r="F7" s="97"/>
    </row>
    <row r="8" spans="1:6" ht="69.599999999999994" customHeight="1" x14ac:dyDescent="0.25">
      <c r="A8" s="115" t="s">
        <v>177</v>
      </c>
      <c r="B8" s="115"/>
      <c r="C8" s="115"/>
      <c r="D8" s="115"/>
      <c r="E8" s="115"/>
      <c r="F8" s="97"/>
    </row>
    <row r="9" spans="1:6" ht="83.45" customHeight="1" x14ac:dyDescent="0.25">
      <c r="A9" s="115" t="s">
        <v>178</v>
      </c>
      <c r="B9" s="115"/>
      <c r="C9" s="115"/>
      <c r="D9" s="115"/>
      <c r="E9" s="115"/>
      <c r="F9" s="97"/>
    </row>
    <row r="10" spans="1:6" ht="31.5" customHeight="1" x14ac:dyDescent="0.25">
      <c r="A10" s="115" t="s">
        <v>174</v>
      </c>
      <c r="B10" s="115"/>
      <c r="C10" s="115"/>
      <c r="D10" s="115"/>
      <c r="E10" s="115"/>
      <c r="F10" s="97"/>
    </row>
    <row r="11" spans="1:6" x14ac:dyDescent="0.25">
      <c r="A11" s="115"/>
      <c r="B11" s="115"/>
      <c r="C11" s="115"/>
      <c r="D11" s="115"/>
      <c r="E11" s="115"/>
      <c r="F11" s="97"/>
    </row>
    <row r="12" spans="1:6" x14ac:dyDescent="0.25">
      <c r="A12" s="116" t="s">
        <v>171</v>
      </c>
      <c r="B12" s="116"/>
      <c r="C12" s="116"/>
      <c r="D12" s="116"/>
      <c r="E12" s="116"/>
      <c r="F12" s="97"/>
    </row>
    <row r="13" spans="1:6" x14ac:dyDescent="0.25">
      <c r="A13" s="115" t="s">
        <v>146</v>
      </c>
      <c r="B13" s="115"/>
      <c r="C13" s="115"/>
      <c r="D13" s="115"/>
      <c r="E13" s="115"/>
      <c r="F13" s="97"/>
    </row>
    <row r="14" spans="1:6" x14ac:dyDescent="0.25">
      <c r="A14" s="115" t="s">
        <v>147</v>
      </c>
      <c r="B14" s="115"/>
      <c r="C14" s="115"/>
      <c r="D14" s="115"/>
      <c r="E14" s="115"/>
      <c r="F14" s="97"/>
    </row>
    <row r="15" spans="1:6" x14ac:dyDescent="0.25">
      <c r="A15" s="115" t="s">
        <v>148</v>
      </c>
      <c r="B15" s="115"/>
      <c r="C15" s="115"/>
      <c r="D15" s="115"/>
      <c r="E15" s="115"/>
      <c r="F15" s="97"/>
    </row>
    <row r="16" spans="1:6" x14ac:dyDescent="0.25">
      <c r="A16" s="115" t="s">
        <v>149</v>
      </c>
      <c r="B16" s="115"/>
      <c r="C16" s="115"/>
      <c r="D16" s="115"/>
      <c r="E16" s="115"/>
      <c r="F16" s="97"/>
    </row>
    <row r="17" spans="1:6" x14ac:dyDescent="0.25">
      <c r="A17" s="115"/>
      <c r="B17" s="115"/>
      <c r="C17" s="115"/>
      <c r="D17" s="115"/>
      <c r="E17" s="115"/>
      <c r="F17" s="97"/>
    </row>
    <row r="18" spans="1:6" x14ac:dyDescent="0.25">
      <c r="A18" s="116" t="s">
        <v>150</v>
      </c>
      <c r="B18" s="116"/>
      <c r="C18" s="116"/>
      <c r="D18" s="116"/>
      <c r="E18" s="116"/>
      <c r="F18" s="97"/>
    </row>
    <row r="19" spans="1:6" ht="39.75" customHeight="1" x14ac:dyDescent="0.25">
      <c r="A19" s="115" t="s">
        <v>151</v>
      </c>
      <c r="B19" s="115"/>
      <c r="C19" s="115"/>
      <c r="D19" s="115"/>
      <c r="E19" s="115"/>
      <c r="F19" s="97"/>
    </row>
    <row r="20" spans="1:6" x14ac:dyDescent="0.25">
      <c r="A20" s="116" t="s">
        <v>152</v>
      </c>
      <c r="B20" s="116"/>
      <c r="C20" s="116"/>
      <c r="D20" s="116"/>
      <c r="E20" s="116"/>
      <c r="F20" s="97"/>
    </row>
    <row r="21" spans="1:6" ht="32.25" customHeight="1" x14ac:dyDescent="0.25">
      <c r="A21" s="115" t="s">
        <v>153</v>
      </c>
      <c r="B21" s="115"/>
      <c r="C21" s="115"/>
      <c r="D21" s="115"/>
      <c r="E21" s="115"/>
      <c r="F21" s="97"/>
    </row>
    <row r="22" spans="1:6" x14ac:dyDescent="0.25">
      <c r="A22" s="116" t="s">
        <v>154</v>
      </c>
      <c r="B22" s="116"/>
      <c r="C22" s="116"/>
      <c r="D22" s="116"/>
      <c r="E22" s="116"/>
      <c r="F22" s="97"/>
    </row>
    <row r="23" spans="1:6" x14ac:dyDescent="0.25">
      <c r="A23" s="115" t="s">
        <v>179</v>
      </c>
      <c r="B23" s="115"/>
      <c r="C23" s="115"/>
      <c r="D23" s="115"/>
      <c r="E23" s="115"/>
      <c r="F23" s="97"/>
    </row>
    <row r="24" spans="1:6" x14ac:dyDescent="0.25">
      <c r="A24" s="115"/>
      <c r="B24" s="115"/>
      <c r="C24" s="115"/>
      <c r="D24" s="115"/>
      <c r="E24" s="115"/>
      <c r="F24" s="97"/>
    </row>
    <row r="25" spans="1:6" x14ac:dyDescent="0.25">
      <c r="A25" s="116" t="s">
        <v>155</v>
      </c>
      <c r="B25" s="116"/>
      <c r="C25" s="116"/>
      <c r="D25" s="116"/>
      <c r="E25" s="116"/>
      <c r="F25" s="97"/>
    </row>
    <row r="26" spans="1:6" x14ac:dyDescent="0.25">
      <c r="A26" s="115" t="s">
        <v>156</v>
      </c>
      <c r="B26" s="115"/>
      <c r="C26" s="115"/>
      <c r="D26" s="115"/>
      <c r="E26" s="115"/>
      <c r="F26" s="97"/>
    </row>
    <row r="27" spans="1:6" x14ac:dyDescent="0.25">
      <c r="A27" s="115" t="s">
        <v>157</v>
      </c>
      <c r="B27" s="115"/>
      <c r="C27" s="115"/>
      <c r="D27" s="115"/>
      <c r="E27" s="115"/>
      <c r="F27" s="97"/>
    </row>
    <row r="28" spans="1:6" x14ac:dyDescent="0.25">
      <c r="A28" s="115" t="s">
        <v>158</v>
      </c>
      <c r="B28" s="115"/>
      <c r="C28" s="115"/>
      <c r="D28" s="115"/>
      <c r="E28" s="115"/>
      <c r="F28" s="97"/>
    </row>
    <row r="29" spans="1:6" x14ac:dyDescent="0.25">
      <c r="A29" s="115" t="s">
        <v>159</v>
      </c>
      <c r="B29" s="115"/>
      <c r="C29" s="115"/>
      <c r="D29" s="115"/>
      <c r="E29" s="115"/>
      <c r="F29" s="97"/>
    </row>
    <row r="30" spans="1:6" x14ac:dyDescent="0.25">
      <c r="A30" s="115" t="s">
        <v>160</v>
      </c>
      <c r="B30" s="115"/>
      <c r="C30" s="115"/>
      <c r="D30" s="115"/>
      <c r="E30" s="115"/>
      <c r="F30" s="97"/>
    </row>
    <row r="31" spans="1:6" x14ac:dyDescent="0.25">
      <c r="A31" s="115" t="s">
        <v>161</v>
      </c>
      <c r="B31" s="115"/>
      <c r="C31" s="115"/>
      <c r="D31" s="115"/>
      <c r="E31" s="115"/>
      <c r="F31" s="97"/>
    </row>
    <row r="32" spans="1:6" x14ac:dyDescent="0.25">
      <c r="A32" s="115"/>
      <c r="B32" s="115"/>
      <c r="C32" s="115"/>
      <c r="D32" s="115"/>
      <c r="E32" s="115"/>
      <c r="F32" s="97"/>
    </row>
    <row r="33" spans="1:6" ht="27.75" customHeight="1" x14ac:dyDescent="0.25">
      <c r="A33" s="115" t="s">
        <v>162</v>
      </c>
      <c r="B33" s="115"/>
      <c r="C33" s="115"/>
      <c r="D33" s="115"/>
      <c r="E33" s="115"/>
      <c r="F33" s="97"/>
    </row>
    <row r="34" spans="1:6" x14ac:dyDescent="0.25">
      <c r="A34" s="119"/>
      <c r="B34" s="119"/>
      <c r="C34" s="119"/>
      <c r="D34" s="119"/>
      <c r="E34" s="119"/>
      <c r="F34" s="98"/>
    </row>
    <row r="35" spans="1:6" ht="15.75" thickBot="1" x14ac:dyDescent="0.3">
      <c r="A35" s="118" t="s">
        <v>163</v>
      </c>
      <c r="B35" s="118"/>
      <c r="C35" s="118"/>
      <c r="D35" s="118"/>
      <c r="E35" s="118"/>
      <c r="F35" s="98"/>
    </row>
    <row r="36" spans="1:6" x14ac:dyDescent="0.25">
      <c r="A36" s="100"/>
      <c r="B36" s="104" t="s">
        <v>7</v>
      </c>
      <c r="C36" s="104" t="s">
        <v>59</v>
      </c>
      <c r="D36" s="104" t="s">
        <v>173</v>
      </c>
      <c r="E36" s="105" t="s">
        <v>164</v>
      </c>
    </row>
    <row r="37" spans="1:6" x14ac:dyDescent="0.25">
      <c r="A37" s="101" t="s">
        <v>130</v>
      </c>
      <c r="B37" s="106"/>
      <c r="C37" s="106"/>
      <c r="D37" s="106"/>
      <c r="E37" s="107">
        <v>5.8999999999999997E-2</v>
      </c>
    </row>
    <row r="38" spans="1:6" x14ac:dyDescent="0.25">
      <c r="A38" s="102" t="s">
        <v>165</v>
      </c>
      <c r="B38" s="108">
        <v>-0.08</v>
      </c>
      <c r="C38" s="106"/>
      <c r="D38" s="108">
        <v>-25.1</v>
      </c>
      <c r="E38" s="109"/>
    </row>
    <row r="39" spans="1:6" x14ac:dyDescent="0.25">
      <c r="A39" s="102" t="s">
        <v>166</v>
      </c>
      <c r="B39" s="106"/>
      <c r="C39" s="108">
        <v>-22.2</v>
      </c>
      <c r="D39" s="108">
        <v>-620.5</v>
      </c>
      <c r="E39" s="109"/>
    </row>
    <row r="40" spans="1:6" x14ac:dyDescent="0.25">
      <c r="A40" s="102"/>
      <c r="B40" s="106"/>
      <c r="C40" s="106"/>
      <c r="D40" s="106"/>
      <c r="E40" s="109"/>
    </row>
    <row r="41" spans="1:6" x14ac:dyDescent="0.25">
      <c r="A41" s="101" t="s">
        <v>96</v>
      </c>
      <c r="B41" s="106"/>
      <c r="C41" s="106"/>
      <c r="D41" s="106"/>
      <c r="E41" s="107">
        <v>3.7999999999999999E-2</v>
      </c>
    </row>
    <row r="42" spans="1:6" x14ac:dyDescent="0.25">
      <c r="A42" s="102" t="s">
        <v>165</v>
      </c>
      <c r="B42" s="108">
        <v>0.02</v>
      </c>
      <c r="C42" s="106"/>
      <c r="D42" s="108">
        <v>5.0999999999999996</v>
      </c>
      <c r="E42" s="109"/>
    </row>
    <row r="43" spans="1:6" x14ac:dyDescent="0.25">
      <c r="A43" s="102" t="s">
        <v>166</v>
      </c>
      <c r="B43" s="106"/>
      <c r="C43" s="108">
        <v>-14.8</v>
      </c>
      <c r="D43" s="108">
        <v>-413.7</v>
      </c>
      <c r="E43" s="109"/>
    </row>
    <row r="44" spans="1:6" x14ac:dyDescent="0.25">
      <c r="A44" s="102"/>
      <c r="B44" s="106"/>
      <c r="C44" s="106"/>
      <c r="D44" s="106"/>
      <c r="E44" s="109"/>
    </row>
    <row r="45" spans="1:6" x14ac:dyDescent="0.25">
      <c r="A45" s="101" t="s">
        <v>167</v>
      </c>
      <c r="B45" s="106"/>
      <c r="C45" s="106"/>
      <c r="D45" s="106"/>
      <c r="E45" s="107">
        <v>3.7999999999999999E-2</v>
      </c>
    </row>
    <row r="46" spans="1:6" x14ac:dyDescent="0.25">
      <c r="A46" s="102" t="s">
        <v>128</v>
      </c>
      <c r="B46" s="106"/>
      <c r="C46" s="106"/>
      <c r="D46" s="108">
        <v>-170</v>
      </c>
      <c r="E46" s="109"/>
    </row>
    <row r="47" spans="1:6" x14ac:dyDescent="0.25">
      <c r="A47" s="102" t="s">
        <v>123</v>
      </c>
      <c r="B47" s="106"/>
      <c r="C47" s="106"/>
      <c r="D47" s="108">
        <v>-237</v>
      </c>
      <c r="E47" s="109"/>
    </row>
    <row r="48" spans="1:6" x14ac:dyDescent="0.25">
      <c r="A48" s="102"/>
      <c r="B48" s="106"/>
      <c r="C48" s="106"/>
      <c r="D48" s="106"/>
      <c r="E48" s="109"/>
    </row>
    <row r="49" spans="1:5" x14ac:dyDescent="0.25">
      <c r="A49" s="101" t="s">
        <v>168</v>
      </c>
      <c r="B49" s="106"/>
      <c r="C49" s="106"/>
      <c r="D49" s="106"/>
      <c r="E49" s="107">
        <v>2.8000000000000001E-2</v>
      </c>
    </row>
    <row r="50" spans="1:5" x14ac:dyDescent="0.25">
      <c r="A50" s="102" t="s">
        <v>123</v>
      </c>
      <c r="B50" s="106"/>
      <c r="C50" s="106"/>
      <c r="D50" s="108">
        <v>-305</v>
      </c>
      <c r="E50" s="109"/>
    </row>
    <row r="51" spans="1:5" x14ac:dyDescent="0.25">
      <c r="A51" s="102"/>
      <c r="B51" s="106"/>
      <c r="C51" s="106"/>
      <c r="D51" s="106"/>
      <c r="E51" s="109"/>
    </row>
    <row r="52" spans="1:5" x14ac:dyDescent="0.25">
      <c r="A52" s="101" t="s">
        <v>169</v>
      </c>
      <c r="B52" s="106"/>
      <c r="C52" s="106"/>
      <c r="D52" s="106"/>
      <c r="E52" s="107">
        <v>5.0000000000000001E-3</v>
      </c>
    </row>
    <row r="53" spans="1:5" ht="15.75" thickBot="1" x14ac:dyDescent="0.3">
      <c r="A53" s="103" t="s">
        <v>123</v>
      </c>
      <c r="B53" s="110"/>
      <c r="C53" s="110"/>
      <c r="D53" s="110">
        <v>-61</v>
      </c>
      <c r="E53" s="111"/>
    </row>
    <row r="54" spans="1:5" x14ac:dyDescent="0.25">
      <c r="A54" s="96"/>
    </row>
  </sheetData>
  <mergeCells count="34">
    <mergeCell ref="A30:E30"/>
    <mergeCell ref="A17:E17"/>
    <mergeCell ref="A16:E16"/>
    <mergeCell ref="A15:E15"/>
    <mergeCell ref="A14:E14"/>
    <mergeCell ref="A29:E29"/>
    <mergeCell ref="A28:E28"/>
    <mergeCell ref="A27:E27"/>
    <mergeCell ref="A26:E26"/>
    <mergeCell ref="A25:E25"/>
    <mergeCell ref="A24:E24"/>
    <mergeCell ref="A23:E23"/>
    <mergeCell ref="A22:E22"/>
    <mergeCell ref="A21:E21"/>
    <mergeCell ref="A20:E20"/>
    <mergeCell ref="A35:E35"/>
    <mergeCell ref="A34:E34"/>
    <mergeCell ref="A33:E33"/>
    <mergeCell ref="A32:E32"/>
    <mergeCell ref="A31:E31"/>
    <mergeCell ref="A1:E1"/>
    <mergeCell ref="A19:E19"/>
    <mergeCell ref="A18:E18"/>
    <mergeCell ref="A8:E8"/>
    <mergeCell ref="A7:E7"/>
    <mergeCell ref="A9:E9"/>
    <mergeCell ref="A10:E10"/>
    <mergeCell ref="A3:E3"/>
    <mergeCell ref="A2:E2"/>
    <mergeCell ref="A13:E13"/>
    <mergeCell ref="A12:E12"/>
    <mergeCell ref="A11:E11"/>
    <mergeCell ref="A6:E6"/>
    <mergeCell ref="A5:E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4"/>
  <sheetViews>
    <sheetView workbookViewId="0">
      <selection activeCell="B31" sqref="B31"/>
    </sheetView>
  </sheetViews>
  <sheetFormatPr defaultRowHeight="15" x14ac:dyDescent="0.25"/>
  <cols>
    <col min="2" max="2" width="67.85546875" customWidth="1"/>
    <col min="3" max="3" width="26.85546875" customWidth="1"/>
    <col min="4" max="4" width="13.7109375" bestFit="1" customWidth="1"/>
    <col min="5" max="5" width="23.140625" customWidth="1"/>
    <col min="6" max="6" width="13.140625" customWidth="1"/>
    <col min="7" max="7" width="11.5703125" bestFit="1" customWidth="1"/>
    <col min="8" max="8" width="11.85546875" bestFit="1" customWidth="1"/>
    <col min="9" max="9" width="89.85546875" customWidth="1"/>
    <col min="11" max="11" width="16.42578125" customWidth="1"/>
    <col min="12" max="12" width="11.5703125" bestFit="1" customWidth="1"/>
    <col min="13" max="13" width="27.5703125" bestFit="1" customWidth="1"/>
    <col min="14" max="14" width="17.42578125" customWidth="1"/>
    <col min="15" max="15" width="13.28515625" customWidth="1"/>
  </cols>
  <sheetData>
    <row r="1" spans="1:15" ht="15.75" thickBot="1" x14ac:dyDescent="0.3">
      <c r="A1" s="1"/>
      <c r="J1" s="5"/>
      <c r="K1" s="5"/>
    </row>
    <row r="2" spans="1:15" x14ac:dyDescent="0.25">
      <c r="B2" s="2" t="s">
        <v>0</v>
      </c>
      <c r="C2" s="3" t="s">
        <v>66</v>
      </c>
      <c r="D2" s="3" t="s">
        <v>137</v>
      </c>
      <c r="E2" s="3" t="s">
        <v>64</v>
      </c>
      <c r="F2" s="3" t="s">
        <v>1</v>
      </c>
      <c r="G2" s="3" t="s">
        <v>64</v>
      </c>
      <c r="H2" s="3" t="s">
        <v>2</v>
      </c>
      <c r="I2" s="3" t="s">
        <v>64</v>
      </c>
      <c r="J2" s="84"/>
      <c r="K2" s="5"/>
      <c r="L2" s="46" t="s">
        <v>60</v>
      </c>
      <c r="M2" s="52" t="s">
        <v>57</v>
      </c>
      <c r="N2" s="53" t="s">
        <v>58</v>
      </c>
      <c r="O2" s="57" t="s">
        <v>64</v>
      </c>
    </row>
    <row r="3" spans="1:15" x14ac:dyDescent="0.25">
      <c r="B3" s="4"/>
      <c r="C3" s="5"/>
      <c r="D3" s="5"/>
      <c r="E3" s="5"/>
      <c r="F3" s="5" t="s">
        <v>3</v>
      </c>
      <c r="G3" s="5"/>
      <c r="H3" s="5" t="s">
        <v>3</v>
      </c>
      <c r="I3" s="5"/>
      <c r="J3" s="6"/>
      <c r="K3" s="5"/>
      <c r="L3" s="44" t="s">
        <v>56</v>
      </c>
      <c r="M3" s="22">
        <v>0.24</v>
      </c>
      <c r="N3" s="23">
        <v>0.18</v>
      </c>
      <c r="O3" s="23" t="s">
        <v>62</v>
      </c>
    </row>
    <row r="4" spans="1:15" x14ac:dyDescent="0.25">
      <c r="B4" s="50" t="s">
        <v>70</v>
      </c>
      <c r="C4" s="5" t="s">
        <v>67</v>
      </c>
      <c r="D4" s="5">
        <v>12.4</v>
      </c>
      <c r="E4" s="5" t="s">
        <v>138</v>
      </c>
      <c r="F4" s="5">
        <v>0.2</v>
      </c>
      <c r="G4" s="5" t="s">
        <v>62</v>
      </c>
      <c r="H4" s="5">
        <v>6</v>
      </c>
      <c r="I4" s="5" t="s">
        <v>63</v>
      </c>
      <c r="J4" s="6"/>
      <c r="K4" s="5"/>
      <c r="N4" s="14"/>
      <c r="O4" s="5"/>
    </row>
    <row r="5" spans="1:15" x14ac:dyDescent="0.25">
      <c r="B5" s="4" t="s">
        <v>17</v>
      </c>
      <c r="C5" s="5" t="s">
        <v>67</v>
      </c>
      <c r="D5" s="5">
        <v>12.4</v>
      </c>
      <c r="E5" s="5" t="s">
        <v>138</v>
      </c>
      <c r="F5" s="5">
        <v>0.2</v>
      </c>
      <c r="G5" s="5" t="s">
        <v>62</v>
      </c>
      <c r="H5" s="5">
        <v>13.5</v>
      </c>
      <c r="I5" s="5" t="s">
        <v>63</v>
      </c>
      <c r="J5" s="6"/>
      <c r="K5" s="5"/>
      <c r="L5" s="24" t="s">
        <v>100</v>
      </c>
      <c r="M5" s="13"/>
      <c r="N5" s="17" t="s">
        <v>101</v>
      </c>
      <c r="O5" s="5"/>
    </row>
    <row r="6" spans="1:15" x14ac:dyDescent="0.25">
      <c r="B6" s="4" t="s">
        <v>16</v>
      </c>
      <c r="C6" s="5" t="s">
        <v>67</v>
      </c>
      <c r="D6" s="5">
        <v>12.4</v>
      </c>
      <c r="E6" s="5" t="s">
        <v>138</v>
      </c>
      <c r="F6" s="5">
        <v>0.2</v>
      </c>
      <c r="G6" s="5" t="s">
        <v>62</v>
      </c>
      <c r="H6" s="5">
        <v>12</v>
      </c>
      <c r="I6" s="5" t="s">
        <v>63</v>
      </c>
      <c r="J6" s="6"/>
      <c r="K6" s="5"/>
      <c r="L6" s="21" t="s">
        <v>98</v>
      </c>
      <c r="M6" s="5">
        <v>298</v>
      </c>
      <c r="N6" s="23" t="s">
        <v>101</v>
      </c>
      <c r="O6" s="5"/>
    </row>
    <row r="7" spans="1:15" x14ac:dyDescent="0.25">
      <c r="B7" s="4" t="s">
        <v>5</v>
      </c>
      <c r="C7" s="5" t="s">
        <v>67</v>
      </c>
      <c r="D7" s="5">
        <v>12.4</v>
      </c>
      <c r="E7" s="5" t="s">
        <v>138</v>
      </c>
      <c r="F7" s="5">
        <v>0.2</v>
      </c>
      <c r="G7" s="5" t="s">
        <v>62</v>
      </c>
      <c r="H7" s="5">
        <v>20</v>
      </c>
      <c r="I7" s="5" t="s">
        <v>63</v>
      </c>
      <c r="J7" s="6"/>
      <c r="K7" s="5"/>
      <c r="L7" s="28" t="s">
        <v>53</v>
      </c>
      <c r="M7" s="22">
        <v>28</v>
      </c>
      <c r="N7" s="5"/>
      <c r="O7" s="5"/>
    </row>
    <row r="8" spans="1:15" x14ac:dyDescent="0.25">
      <c r="B8" s="4" t="s">
        <v>6</v>
      </c>
      <c r="C8" s="5" t="s">
        <v>67</v>
      </c>
      <c r="D8" s="5">
        <v>12.4</v>
      </c>
      <c r="E8" s="5" t="s">
        <v>138</v>
      </c>
      <c r="F8" s="5">
        <v>0.2</v>
      </c>
      <c r="G8" s="5" t="s">
        <v>62</v>
      </c>
      <c r="H8" s="5">
        <v>10.4</v>
      </c>
      <c r="I8" s="5" t="s">
        <v>63</v>
      </c>
      <c r="J8" s="6"/>
      <c r="K8" s="5"/>
      <c r="L8" s="16"/>
      <c r="M8" s="5"/>
      <c r="N8" s="5"/>
      <c r="O8" s="5"/>
    </row>
    <row r="9" spans="1:15" x14ac:dyDescent="0.25">
      <c r="B9" s="4"/>
      <c r="C9" s="5"/>
      <c r="D9" s="5"/>
      <c r="E9" s="5"/>
      <c r="F9" s="5"/>
      <c r="G9" s="5"/>
      <c r="H9" s="5"/>
      <c r="I9" s="5"/>
      <c r="J9" s="6"/>
      <c r="K9" s="5"/>
      <c r="L9" s="16"/>
      <c r="M9" s="5"/>
      <c r="N9" s="5"/>
      <c r="O9" s="5"/>
    </row>
    <row r="10" spans="1:15" x14ac:dyDescent="0.25">
      <c r="B10" s="59" t="s">
        <v>131</v>
      </c>
      <c r="C10" s="5"/>
      <c r="D10" s="5"/>
      <c r="E10" s="5"/>
      <c r="F10" s="5"/>
      <c r="G10" s="5"/>
      <c r="H10" s="5"/>
      <c r="I10" s="5"/>
      <c r="J10" s="6"/>
      <c r="K10" s="5"/>
      <c r="O10" s="5"/>
    </row>
    <row r="11" spans="1:15" x14ac:dyDescent="0.25">
      <c r="B11" s="85" t="s">
        <v>130</v>
      </c>
      <c r="C11" s="22"/>
      <c r="D11" s="22"/>
      <c r="E11" s="22"/>
      <c r="F11" s="22"/>
      <c r="G11" s="22"/>
      <c r="H11" s="86">
        <v>-0.5</v>
      </c>
      <c r="I11" s="22"/>
      <c r="J11" s="87"/>
      <c r="K11" s="5"/>
      <c r="O11" s="5"/>
    </row>
    <row r="12" spans="1:15" x14ac:dyDescent="0.25">
      <c r="B12" s="59" t="s">
        <v>114</v>
      </c>
      <c r="C12" s="5"/>
      <c r="D12" s="5"/>
      <c r="E12" s="5"/>
      <c r="F12" s="5"/>
      <c r="G12" s="5"/>
      <c r="H12" s="5"/>
      <c r="I12" s="5"/>
      <c r="J12" s="6"/>
      <c r="K12" s="5"/>
      <c r="O12" s="5"/>
    </row>
    <row r="13" spans="1:15" x14ac:dyDescent="0.25">
      <c r="B13" s="4" t="s">
        <v>115</v>
      </c>
      <c r="C13" s="5"/>
      <c r="D13" s="5">
        <v>12.4</v>
      </c>
      <c r="E13" s="5" t="s">
        <v>138</v>
      </c>
      <c r="F13" s="5">
        <v>0.5</v>
      </c>
      <c r="G13" s="5" t="s">
        <v>62</v>
      </c>
      <c r="H13" s="5">
        <v>3.4</v>
      </c>
      <c r="I13" s="5" t="s">
        <v>63</v>
      </c>
      <c r="J13" s="6"/>
      <c r="K13" s="5"/>
      <c r="L13" s="16"/>
      <c r="M13" s="5"/>
      <c r="N13" s="5"/>
      <c r="O13" s="5"/>
    </row>
    <row r="14" spans="1:15" x14ac:dyDescent="0.25">
      <c r="B14" s="4"/>
      <c r="C14" s="5"/>
      <c r="D14" s="5"/>
      <c r="E14" s="5"/>
      <c r="F14" s="5"/>
      <c r="G14" s="5"/>
      <c r="H14" s="5"/>
      <c r="I14" s="5"/>
      <c r="J14" s="6"/>
      <c r="K14" s="5"/>
      <c r="L14" s="16"/>
      <c r="M14" s="5"/>
      <c r="N14" s="5"/>
      <c r="O14" s="5"/>
    </row>
    <row r="15" spans="1:15" x14ac:dyDescent="0.25">
      <c r="B15" s="81" t="s">
        <v>132</v>
      </c>
      <c r="C15" s="5"/>
      <c r="D15" s="5"/>
      <c r="E15" s="5"/>
      <c r="F15" s="5"/>
      <c r="G15" s="5"/>
      <c r="H15" s="5"/>
      <c r="I15" s="5"/>
      <c r="J15" s="6"/>
      <c r="K15" s="5"/>
      <c r="L15" s="16"/>
      <c r="M15" s="5"/>
      <c r="N15" s="5"/>
      <c r="O15" s="5"/>
    </row>
    <row r="16" spans="1:15" ht="60" x14ac:dyDescent="0.25">
      <c r="B16" s="4" t="s">
        <v>130</v>
      </c>
      <c r="C16" s="5"/>
      <c r="D16" s="58">
        <v>-0.6</v>
      </c>
      <c r="E16" s="16" t="s">
        <v>139</v>
      </c>
      <c r="F16" s="5"/>
      <c r="G16" s="5"/>
      <c r="H16" s="58">
        <v>-0.5</v>
      </c>
      <c r="I16" s="16" t="s">
        <v>116</v>
      </c>
      <c r="J16" s="6"/>
      <c r="K16" s="5"/>
    </row>
    <row r="17" spans="2:11" x14ac:dyDescent="0.25">
      <c r="B17" s="4" t="s">
        <v>96</v>
      </c>
      <c r="C17" s="5"/>
      <c r="D17" s="58">
        <v>-0.4</v>
      </c>
      <c r="E17" s="5" t="s">
        <v>68</v>
      </c>
      <c r="F17" s="7"/>
      <c r="G17" s="5" t="s">
        <v>140</v>
      </c>
      <c r="H17" s="83">
        <v>0.5</v>
      </c>
      <c r="I17" s="5" t="s">
        <v>63</v>
      </c>
      <c r="J17" s="6"/>
      <c r="K17" s="5"/>
    </row>
    <row r="18" spans="2:11" ht="15.75" thickBot="1" x14ac:dyDescent="0.3">
      <c r="B18" s="8"/>
      <c r="C18" s="9"/>
      <c r="D18" s="9"/>
      <c r="E18" s="9"/>
      <c r="F18" s="9"/>
      <c r="G18" s="9"/>
      <c r="H18" s="51"/>
      <c r="I18" s="9"/>
      <c r="J18" s="10"/>
      <c r="K18" s="5"/>
    </row>
    <row r="19" spans="2:11" x14ac:dyDescent="0.25">
      <c r="G19" s="7" t="s">
        <v>127</v>
      </c>
      <c r="K19" s="5"/>
    </row>
    <row r="20" spans="2:11" ht="15.75" thickBot="1" x14ac:dyDescent="0.3">
      <c r="J20" s="5"/>
      <c r="K20" s="5"/>
    </row>
    <row r="21" spans="2:11" ht="15.75" x14ac:dyDescent="0.25">
      <c r="B21" s="64" t="s">
        <v>143</v>
      </c>
      <c r="C21" s="3"/>
      <c r="D21" s="49"/>
      <c r="E21" s="5"/>
      <c r="J21" s="5"/>
      <c r="K21" s="5"/>
    </row>
    <row r="22" spans="2:11" ht="15.75" x14ac:dyDescent="0.25">
      <c r="B22" s="65"/>
      <c r="C22" s="5"/>
      <c r="D22" s="6"/>
      <c r="E22" s="88"/>
      <c r="J22" s="5"/>
      <c r="K22" s="5"/>
    </row>
    <row r="23" spans="2:11" x14ac:dyDescent="0.25">
      <c r="B23" s="67" t="s">
        <v>122</v>
      </c>
      <c r="C23" s="5"/>
      <c r="D23" s="6"/>
      <c r="E23" s="88"/>
      <c r="J23" s="5"/>
      <c r="K23" s="5"/>
    </row>
    <row r="24" spans="2:11" x14ac:dyDescent="0.25">
      <c r="B24" s="66" t="s">
        <v>89</v>
      </c>
      <c r="C24" s="54" t="s">
        <v>16</v>
      </c>
      <c r="D24" s="6"/>
      <c r="E24" s="88"/>
      <c r="J24" s="5"/>
      <c r="K24" s="5"/>
    </row>
    <row r="25" spans="2:11" x14ac:dyDescent="0.25">
      <c r="B25" s="66" t="s">
        <v>129</v>
      </c>
      <c r="C25" s="54"/>
      <c r="D25" s="6"/>
      <c r="E25" s="88"/>
      <c r="J25" s="5"/>
      <c r="K25" s="5"/>
    </row>
    <row r="26" spans="2:11" x14ac:dyDescent="0.25">
      <c r="B26" s="66" t="s">
        <v>125</v>
      </c>
      <c r="C26" s="54">
        <v>11500</v>
      </c>
      <c r="D26" s="6"/>
      <c r="E26" s="88"/>
      <c r="J26" s="5"/>
      <c r="K26" s="5"/>
    </row>
    <row r="27" spans="2:11" ht="15.75" x14ac:dyDescent="0.25">
      <c r="B27" s="65"/>
      <c r="C27" s="5"/>
      <c r="D27" s="6"/>
      <c r="E27" s="88"/>
      <c r="J27" s="5"/>
      <c r="K27" s="5"/>
    </row>
    <row r="28" spans="2:11" x14ac:dyDescent="0.25">
      <c r="B28" s="67" t="s">
        <v>142</v>
      </c>
      <c r="C28" s="5"/>
      <c r="D28" s="6"/>
      <c r="E28" s="88"/>
      <c r="J28" s="5"/>
      <c r="K28" s="5"/>
    </row>
    <row r="29" spans="2:11" x14ac:dyDescent="0.25">
      <c r="B29" s="66" t="s">
        <v>93</v>
      </c>
      <c r="C29" s="5" t="s">
        <v>7</v>
      </c>
      <c r="D29" s="6">
        <v>160.5</v>
      </c>
      <c r="E29" s="92"/>
      <c r="F29" s="5"/>
      <c r="J29" s="5"/>
      <c r="K29" s="5"/>
    </row>
    <row r="30" spans="2:11" x14ac:dyDescent="0.25">
      <c r="B30" s="66" t="s">
        <v>95</v>
      </c>
      <c r="C30" s="5" t="s">
        <v>105</v>
      </c>
      <c r="D30" s="6">
        <v>72.599999999999994</v>
      </c>
      <c r="E30" s="92"/>
      <c r="F30" s="5"/>
      <c r="J30" s="5"/>
      <c r="K30" s="5"/>
    </row>
    <row r="31" spans="2:11" x14ac:dyDescent="0.25">
      <c r="B31" s="66" t="s">
        <v>94</v>
      </c>
      <c r="C31" s="5" t="s">
        <v>7</v>
      </c>
      <c r="D31" s="69">
        <f>VLOOKUP(C24,'Dataark Normtal kvæg'!C4:K19,6,FALSE)</f>
        <v>0.62050000000000005</v>
      </c>
      <c r="E31" s="92"/>
      <c r="F31" s="5"/>
      <c r="J31" s="5"/>
      <c r="K31" s="5"/>
    </row>
    <row r="32" spans="2:11" x14ac:dyDescent="0.25">
      <c r="B32" s="66" t="s">
        <v>74</v>
      </c>
      <c r="C32" s="5" t="s">
        <v>106</v>
      </c>
      <c r="D32" s="69">
        <f>VLOOKUP(C24,'Dataark Normtal kvæg'!C4:K19,9,FALSE)</f>
        <v>1734.4</v>
      </c>
      <c r="E32" s="92"/>
      <c r="F32" s="5"/>
      <c r="J32" s="5"/>
      <c r="K32" s="5"/>
    </row>
    <row r="33" spans="1:11" x14ac:dyDescent="0.25">
      <c r="B33" s="66" t="s">
        <v>75</v>
      </c>
      <c r="C33" s="5" t="s">
        <v>104</v>
      </c>
      <c r="D33" s="69">
        <f>VLOOKUP(C24,'Dataark Normtal kvæg'!C4:K19,7,FALSE)</f>
        <v>117.89500000000001</v>
      </c>
      <c r="E33" s="92"/>
      <c r="F33" s="5"/>
      <c r="J33" s="5"/>
      <c r="K33" s="5"/>
    </row>
    <row r="34" spans="1:11" x14ac:dyDescent="0.25">
      <c r="A34" s="88"/>
      <c r="B34" s="66"/>
      <c r="C34" s="15"/>
      <c r="D34" s="6"/>
      <c r="E34" s="60"/>
      <c r="F34" s="5"/>
      <c r="J34" s="5"/>
      <c r="K34" s="5"/>
    </row>
    <row r="35" spans="1:11" x14ac:dyDescent="0.25">
      <c r="A35" s="61"/>
      <c r="B35" s="67" t="s">
        <v>108</v>
      </c>
      <c r="C35" s="5"/>
      <c r="D35" s="6"/>
      <c r="E35" s="60"/>
      <c r="F35" s="5"/>
      <c r="J35" s="5"/>
      <c r="K35" s="5"/>
    </row>
    <row r="36" spans="1:11" x14ac:dyDescent="0.25">
      <c r="A36" s="61" t="s">
        <v>71</v>
      </c>
      <c r="B36" s="66" t="s">
        <v>90</v>
      </c>
      <c r="C36" s="5" t="s">
        <v>7</v>
      </c>
      <c r="D36" s="69">
        <f>(D29+D31)*VLOOKUP(C24,B2:H18,5,FALSE)/100</f>
        <v>0.322241</v>
      </c>
      <c r="E36" s="60"/>
      <c r="F36" s="5"/>
      <c r="J36" s="5"/>
      <c r="K36" s="5"/>
    </row>
    <row r="37" spans="1:11" x14ac:dyDescent="0.25">
      <c r="A37" s="61" t="s">
        <v>69</v>
      </c>
      <c r="B37" s="66" t="s">
        <v>91</v>
      </c>
      <c r="C37" s="5" t="s">
        <v>7</v>
      </c>
      <c r="D37" s="69">
        <f>(D30)*VLOOKUP(C24,B2:H18,7,FALSE)/100*(1+IF(C25="Staldforsuring",H11,0))</f>
        <v>8.7119999999999997</v>
      </c>
      <c r="E37" s="60"/>
      <c r="F37" s="5"/>
      <c r="J37" s="5"/>
      <c r="K37" s="5"/>
    </row>
    <row r="38" spans="1:11" ht="14.25" customHeight="1" x14ac:dyDescent="0.25">
      <c r="A38" s="62" t="s">
        <v>107</v>
      </c>
      <c r="B38" s="70" t="s">
        <v>92</v>
      </c>
      <c r="C38" s="5" t="s">
        <v>59</v>
      </c>
      <c r="D38" s="69">
        <f>((D32+D33)/2)*0.67*M3*VLOOKUP(C24,B2:J18,3,FALSE)/100*(1+IF(C25="Staldforsuring",D16,0))*(1+IF(C25="Biogas",D17,0))</f>
        <v>18.466640232000003</v>
      </c>
      <c r="E38" s="60"/>
      <c r="F38" s="5"/>
      <c r="J38" s="5"/>
      <c r="K38" s="5"/>
    </row>
    <row r="39" spans="1:11" x14ac:dyDescent="0.25">
      <c r="A39" s="61"/>
      <c r="B39" s="4"/>
      <c r="C39" s="5"/>
      <c r="D39" s="6"/>
      <c r="E39" s="60"/>
      <c r="F39" s="5"/>
      <c r="J39" s="5"/>
      <c r="K39" s="5"/>
    </row>
    <row r="40" spans="1:11" x14ac:dyDescent="0.25">
      <c r="A40" s="61"/>
      <c r="B40" s="66" t="s">
        <v>134</v>
      </c>
      <c r="C40" s="5"/>
      <c r="D40" s="6"/>
      <c r="E40" s="60"/>
      <c r="F40" s="5"/>
      <c r="J40" s="5"/>
      <c r="K40" s="5"/>
    </row>
    <row r="41" spans="1:11" x14ac:dyDescent="0.25">
      <c r="A41" s="61" t="s">
        <v>72</v>
      </c>
      <c r="B41" s="71" t="s">
        <v>98</v>
      </c>
      <c r="C41" s="5" t="s">
        <v>99</v>
      </c>
      <c r="D41" s="69">
        <f>D36*(44/28)*M6</f>
        <v>150.90085685714286</v>
      </c>
      <c r="E41" s="60"/>
      <c r="F41" s="5"/>
      <c r="J41" s="5"/>
      <c r="K41" s="5"/>
    </row>
    <row r="42" spans="1:11" x14ac:dyDescent="0.25">
      <c r="A42" s="61" t="s">
        <v>73</v>
      </c>
      <c r="B42" s="71" t="s">
        <v>97</v>
      </c>
      <c r="C42" s="5" t="s">
        <v>99</v>
      </c>
      <c r="D42" s="69">
        <f>D37*(44/28)*0.01*M6</f>
        <v>40.797051428571436</v>
      </c>
      <c r="E42" s="60"/>
      <c r="F42" s="5"/>
      <c r="J42" s="5"/>
      <c r="K42" s="5"/>
    </row>
    <row r="43" spans="1:11" x14ac:dyDescent="0.25">
      <c r="A43" s="61" t="s">
        <v>76</v>
      </c>
      <c r="B43" s="71" t="s">
        <v>53</v>
      </c>
      <c r="C43" s="5" t="s">
        <v>99</v>
      </c>
      <c r="D43" s="69">
        <f>D38*M7</f>
        <v>517.06592649600009</v>
      </c>
      <c r="E43" s="60"/>
      <c r="F43" s="5"/>
      <c r="J43" s="5"/>
      <c r="K43" s="5"/>
    </row>
    <row r="44" spans="1:11" x14ac:dyDescent="0.25">
      <c r="A44" s="61" t="s">
        <v>103</v>
      </c>
      <c r="B44" s="71" t="s">
        <v>102</v>
      </c>
      <c r="C44" s="5" t="s">
        <v>99</v>
      </c>
      <c r="D44" s="69">
        <f>D41+D42+D43</f>
        <v>708.76383478171442</v>
      </c>
      <c r="E44" s="60"/>
      <c r="F44" s="5"/>
      <c r="J44" s="5"/>
      <c r="K44" s="5"/>
    </row>
    <row r="45" spans="1:11" x14ac:dyDescent="0.25">
      <c r="A45" s="61"/>
      <c r="B45" s="72"/>
      <c r="C45" s="5"/>
      <c r="D45" s="69"/>
      <c r="E45" s="60"/>
      <c r="F45" s="5"/>
      <c r="J45" s="5"/>
      <c r="K45" s="5"/>
    </row>
    <row r="46" spans="1:11" x14ac:dyDescent="0.25">
      <c r="A46" s="61"/>
      <c r="B46" s="67" t="s">
        <v>109</v>
      </c>
      <c r="C46" s="5"/>
      <c r="D46" s="69"/>
      <c r="E46" s="60"/>
      <c r="F46" s="5"/>
      <c r="J46" s="5"/>
      <c r="K46" s="5"/>
    </row>
    <row r="47" spans="1:11" ht="90" x14ac:dyDescent="0.25">
      <c r="A47" s="62" t="s">
        <v>113</v>
      </c>
      <c r="B47" s="66" t="s">
        <v>110</v>
      </c>
      <c r="C47" s="5" t="s">
        <v>7</v>
      </c>
      <c r="D47" s="69">
        <f>(D29-D36-D37)*F13/100</f>
        <v>0.75732879500000005</v>
      </c>
      <c r="E47" s="60"/>
      <c r="F47" s="5"/>
      <c r="J47" s="5"/>
      <c r="K47" s="5"/>
    </row>
    <row r="48" spans="1:11" x14ac:dyDescent="0.25">
      <c r="A48" s="61" t="s">
        <v>141</v>
      </c>
      <c r="B48" s="66" t="s">
        <v>111</v>
      </c>
      <c r="C48" s="5" t="s">
        <v>7</v>
      </c>
      <c r="D48" s="68">
        <f>(D30-D37)*H13/100*(1+IF(C25="Staldforsuring",H16,0))*(1+IF(C25="Biogas",H17,0))</f>
        <v>2.1721919999999999</v>
      </c>
      <c r="E48" s="60"/>
      <c r="F48" s="5"/>
      <c r="J48" s="5"/>
      <c r="K48" s="5"/>
    </row>
    <row r="49" spans="1:11" ht="15" customHeight="1" x14ac:dyDescent="0.25">
      <c r="A49" s="62" t="s">
        <v>107</v>
      </c>
      <c r="B49" s="70" t="s">
        <v>112</v>
      </c>
      <c r="C49" s="5" t="s">
        <v>59</v>
      </c>
      <c r="D49" s="69">
        <f>((D32+D33)/2)*0.67*M3*D13/100*(1+IF(C25="Staldforsuring",D16,0))*(1+IF(C25="Biogas",D17,0))</f>
        <v>18.466640232000003</v>
      </c>
      <c r="E49" s="60"/>
      <c r="F49" s="89"/>
      <c r="J49" s="5"/>
      <c r="K49" s="5"/>
    </row>
    <row r="50" spans="1:11" x14ac:dyDescent="0.25">
      <c r="A50" s="62"/>
      <c r="B50" s="70"/>
      <c r="C50" s="5"/>
      <c r="D50" s="69"/>
      <c r="E50" s="60"/>
      <c r="F50" s="5"/>
      <c r="J50" s="5"/>
      <c r="K50" s="5"/>
    </row>
    <row r="51" spans="1:11" x14ac:dyDescent="0.25">
      <c r="A51" s="62"/>
      <c r="B51" s="66" t="s">
        <v>135</v>
      </c>
      <c r="C51" s="5"/>
      <c r="D51" s="69"/>
      <c r="E51" s="60"/>
      <c r="F51" s="5"/>
      <c r="J51" s="5"/>
      <c r="K51" s="5"/>
    </row>
    <row r="52" spans="1:11" x14ac:dyDescent="0.25">
      <c r="A52" s="61" t="s">
        <v>72</v>
      </c>
      <c r="B52" s="71" t="s">
        <v>98</v>
      </c>
      <c r="C52" s="5" t="s">
        <v>99</v>
      </c>
      <c r="D52" s="69">
        <f>D47*(44/28)*M6</f>
        <v>354.64625571571435</v>
      </c>
      <c r="E52" s="60"/>
      <c r="F52" s="5"/>
      <c r="J52" s="5"/>
      <c r="K52" s="5"/>
    </row>
    <row r="53" spans="1:11" x14ac:dyDescent="0.25">
      <c r="A53" s="61" t="s">
        <v>73</v>
      </c>
      <c r="B53" s="71" t="s">
        <v>97</v>
      </c>
      <c r="C53" s="5" t="s">
        <v>99</v>
      </c>
      <c r="D53" s="69">
        <f>D48*(44/28)*0.01*M6</f>
        <v>10.172064822857143</v>
      </c>
      <c r="E53" s="60"/>
      <c r="F53" s="5"/>
      <c r="J53" s="5"/>
      <c r="K53" s="5"/>
    </row>
    <row r="54" spans="1:11" x14ac:dyDescent="0.25">
      <c r="A54" s="61" t="s">
        <v>76</v>
      </c>
      <c r="B54" s="71" t="s">
        <v>53</v>
      </c>
      <c r="C54" s="5" t="s">
        <v>99</v>
      </c>
      <c r="D54" s="69">
        <f>D49*M7</f>
        <v>517.06592649600009</v>
      </c>
      <c r="E54" s="60"/>
      <c r="F54" s="5"/>
      <c r="J54" s="5"/>
      <c r="K54" s="5"/>
    </row>
    <row r="55" spans="1:11" x14ac:dyDescent="0.25">
      <c r="A55" s="61" t="s">
        <v>103</v>
      </c>
      <c r="B55" s="71" t="s">
        <v>136</v>
      </c>
      <c r="C55" s="5" t="s">
        <v>99</v>
      </c>
      <c r="D55" s="69">
        <f>D52+D53+D54</f>
        <v>881.88424703457156</v>
      </c>
      <c r="E55" s="60"/>
      <c r="F55" s="5"/>
      <c r="J55" s="5"/>
      <c r="K55" s="5"/>
    </row>
    <row r="56" spans="1:11" x14ac:dyDescent="0.25">
      <c r="A56" s="61"/>
      <c r="B56" s="72"/>
      <c r="C56" s="5"/>
      <c r="D56" s="69"/>
      <c r="E56" s="60"/>
      <c r="F56" s="5"/>
      <c r="J56" s="5"/>
      <c r="K56" s="5"/>
    </row>
    <row r="57" spans="1:11" x14ac:dyDescent="0.25">
      <c r="A57" s="63" t="s">
        <v>118</v>
      </c>
      <c r="B57" s="73" t="s">
        <v>117</v>
      </c>
      <c r="C57" s="5" t="s">
        <v>99</v>
      </c>
      <c r="D57" s="69">
        <f>D55+D44</f>
        <v>1590.6480818162859</v>
      </c>
      <c r="E57" s="60"/>
      <c r="F57" s="5"/>
      <c r="J57" s="5"/>
      <c r="K57" s="5"/>
    </row>
    <row r="58" spans="1:11" x14ac:dyDescent="0.25">
      <c r="A58" s="61"/>
      <c r="B58" s="72"/>
      <c r="C58" s="5"/>
      <c r="D58" s="69"/>
      <c r="E58" s="60"/>
      <c r="F58" s="5"/>
      <c r="J58" s="5"/>
      <c r="K58" s="5"/>
    </row>
    <row r="59" spans="1:11" x14ac:dyDescent="0.25">
      <c r="A59" s="63"/>
      <c r="B59" s="59" t="s">
        <v>128</v>
      </c>
      <c r="C59" s="5" t="s">
        <v>99</v>
      </c>
      <c r="D59" s="74">
        <f>'Beregningsark foder_enteriskCH4'!E6</f>
        <v>3913.42488</v>
      </c>
      <c r="E59" s="60"/>
      <c r="F59" s="5"/>
    </row>
    <row r="60" spans="1:11" x14ac:dyDescent="0.25">
      <c r="A60" s="94"/>
      <c r="B60" s="4"/>
      <c r="C60" s="5"/>
      <c r="D60" s="6"/>
      <c r="E60" s="60"/>
      <c r="F60" s="5"/>
    </row>
    <row r="61" spans="1:11" x14ac:dyDescent="0.25">
      <c r="A61" s="94"/>
      <c r="B61" s="59" t="s">
        <v>123</v>
      </c>
      <c r="C61" s="5" t="s">
        <v>99</v>
      </c>
      <c r="D61" s="74">
        <f>'Beregningsark foder_enteriskCH4'!K6</f>
        <v>5228.4234465408817</v>
      </c>
      <c r="E61" s="60"/>
      <c r="F61" s="5"/>
    </row>
    <row r="62" spans="1:11" x14ac:dyDescent="0.25">
      <c r="B62" s="4"/>
      <c r="C62" s="5"/>
      <c r="D62" s="6"/>
      <c r="E62" s="92"/>
      <c r="F62" s="5"/>
    </row>
    <row r="63" spans="1:11" x14ac:dyDescent="0.25">
      <c r="B63" s="73" t="s">
        <v>133</v>
      </c>
      <c r="C63" s="5" t="s">
        <v>99</v>
      </c>
      <c r="D63" s="74">
        <f>D57+D59+D61</f>
        <v>10732.496408357169</v>
      </c>
      <c r="E63" s="93"/>
      <c r="F63" s="82"/>
    </row>
    <row r="64" spans="1:11" ht="15.75" thickBot="1" x14ac:dyDescent="0.3">
      <c r="B64" s="75" t="s">
        <v>124</v>
      </c>
      <c r="C64" s="9" t="s">
        <v>99</v>
      </c>
      <c r="D64" s="76">
        <f>D63*0.86/C26</f>
        <v>0.80260407923366639</v>
      </c>
      <c r="E64" s="15"/>
      <c r="F64" s="15"/>
    </row>
    <row r="65" spans="2:7" x14ac:dyDescent="0.25">
      <c r="E65" s="5"/>
    </row>
    <row r="66" spans="2:7" x14ac:dyDescent="0.25">
      <c r="B66" s="5"/>
      <c r="C66" s="5"/>
      <c r="D66" s="5"/>
      <c r="E66" s="90"/>
      <c r="F66" s="5"/>
      <c r="G66" s="5"/>
    </row>
    <row r="67" spans="2:7" x14ac:dyDescent="0.25">
      <c r="B67" s="5"/>
      <c r="C67" s="5"/>
      <c r="D67" s="5"/>
      <c r="E67" s="5"/>
      <c r="F67" s="5"/>
      <c r="G67" s="5"/>
    </row>
    <row r="68" spans="2:7" x14ac:dyDescent="0.25">
      <c r="B68" s="5"/>
      <c r="C68" s="5"/>
      <c r="D68" s="5"/>
      <c r="E68" s="5"/>
      <c r="F68" s="90"/>
      <c r="G68" s="5"/>
    </row>
    <row r="69" spans="2:7" x14ac:dyDescent="0.25">
      <c r="B69" s="5"/>
      <c r="C69" s="15"/>
      <c r="D69" s="5"/>
      <c r="E69" s="91"/>
      <c r="F69" s="90"/>
      <c r="G69" s="5"/>
    </row>
    <row r="70" spans="2:7" x14ac:dyDescent="0.25">
      <c r="B70" s="5"/>
      <c r="C70" s="5"/>
      <c r="D70" s="91"/>
      <c r="E70" s="91"/>
      <c r="F70" s="90"/>
      <c r="G70" s="5"/>
    </row>
    <row r="71" spans="2:7" x14ac:dyDescent="0.25">
      <c r="B71" s="5"/>
      <c r="C71" s="5"/>
      <c r="D71" s="5"/>
      <c r="E71" s="5"/>
      <c r="F71" s="90"/>
      <c r="G71" s="5"/>
    </row>
    <row r="72" spans="2:7" x14ac:dyDescent="0.25">
      <c r="B72" s="5"/>
      <c r="C72" s="5"/>
      <c r="D72" s="5"/>
      <c r="E72" s="5"/>
      <c r="F72" s="90"/>
      <c r="G72" s="5"/>
    </row>
    <row r="73" spans="2:7" x14ac:dyDescent="0.25">
      <c r="B73" s="5"/>
      <c r="C73" s="15"/>
      <c r="D73" s="91"/>
      <c r="E73" s="91"/>
      <c r="F73" s="90"/>
      <c r="G73" s="5"/>
    </row>
    <row r="74" spans="2:7" x14ac:dyDescent="0.25">
      <c r="B74" s="5"/>
      <c r="C74" s="91"/>
      <c r="D74" s="91"/>
      <c r="E74" s="91"/>
      <c r="F74" s="90"/>
      <c r="G74" s="5"/>
    </row>
    <row r="75" spans="2:7" x14ac:dyDescent="0.25">
      <c r="B75" s="5"/>
      <c r="C75" s="5"/>
      <c r="D75" s="89"/>
      <c r="E75" s="82"/>
      <c r="F75" s="90"/>
      <c r="G75" s="5"/>
    </row>
    <row r="76" spans="2:7" x14ac:dyDescent="0.25">
      <c r="B76" s="95"/>
      <c r="C76" s="5"/>
      <c r="D76" s="5"/>
      <c r="E76" s="5"/>
      <c r="F76" s="90"/>
      <c r="G76" s="5"/>
    </row>
    <row r="77" spans="2:7" x14ac:dyDescent="0.25">
      <c r="B77" s="95"/>
      <c r="C77" s="5"/>
      <c r="D77" s="5"/>
      <c r="E77" s="82"/>
      <c r="F77" s="90"/>
      <c r="G77" s="5"/>
    </row>
    <row r="78" spans="2:7" x14ac:dyDescent="0.25">
      <c r="B78" s="95"/>
      <c r="C78" s="5"/>
      <c r="D78" s="5"/>
      <c r="E78" s="82"/>
      <c r="F78" s="90"/>
      <c r="G78" s="5"/>
    </row>
    <row r="79" spans="2:7" x14ac:dyDescent="0.25">
      <c r="B79" s="5"/>
      <c r="C79" s="5"/>
      <c r="D79" s="5"/>
      <c r="E79" s="5"/>
      <c r="F79" s="90"/>
      <c r="G79" s="5"/>
    </row>
    <row r="80" spans="2:7" x14ac:dyDescent="0.25">
      <c r="B80" s="5"/>
      <c r="C80" s="5"/>
      <c r="D80" s="5"/>
      <c r="E80" s="5"/>
      <c r="F80" s="90"/>
      <c r="G80" s="5"/>
    </row>
    <row r="81" spans="2:7" x14ac:dyDescent="0.25">
      <c r="B81" s="95"/>
      <c r="C81" s="5"/>
      <c r="D81" s="5"/>
      <c r="E81" s="82"/>
      <c r="F81" s="90"/>
      <c r="G81" s="5"/>
    </row>
    <row r="82" spans="2:7" x14ac:dyDescent="0.25">
      <c r="B82" s="5"/>
      <c r="C82" s="5"/>
      <c r="D82" s="5"/>
      <c r="E82" s="5"/>
      <c r="F82" s="90"/>
      <c r="G82" s="5"/>
    </row>
    <row r="83" spans="2:7" x14ac:dyDescent="0.25">
      <c r="B83" s="5"/>
      <c r="C83" s="5"/>
      <c r="D83" s="5"/>
      <c r="E83" s="5"/>
      <c r="F83" s="90"/>
      <c r="G83" s="5"/>
    </row>
    <row r="84" spans="2:7" x14ac:dyDescent="0.25">
      <c r="B84" s="95"/>
      <c r="C84" s="5"/>
      <c r="D84" s="5"/>
      <c r="E84" s="82"/>
      <c r="F84" s="5"/>
      <c r="G84" s="5"/>
    </row>
  </sheetData>
  <dataValidations count="2">
    <dataValidation type="list" allowBlank="1" showInputMessage="1" showErrorMessage="1" sqref="C24" xr:uid="{81F532ED-6E1E-4238-ABF2-47EDEF994680}">
      <formula1>$B$4:$B$8</formula1>
    </dataValidation>
    <dataValidation type="list" allowBlank="1" showInputMessage="1" showErrorMessage="1" sqref="C25" xr:uid="{F6D40BB0-5948-41D5-A12F-6EE20ABE059E}">
      <formula1>$B$16:$B$17</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CA2ED-ABFC-42C2-8475-60B21F92087F}">
  <dimension ref="B1:K6"/>
  <sheetViews>
    <sheetView workbookViewId="0">
      <selection activeCell="E33" sqref="E33"/>
    </sheetView>
  </sheetViews>
  <sheetFormatPr defaultRowHeight="15" x14ac:dyDescent="0.25"/>
  <cols>
    <col min="2" max="2" width="32.28515625" bestFit="1" customWidth="1"/>
    <col min="3" max="3" width="12.7109375" bestFit="1" customWidth="1"/>
    <col min="4" max="4" width="34.7109375" bestFit="1" customWidth="1"/>
    <col min="5" max="5" width="52.5703125" bestFit="1" customWidth="1"/>
    <col min="6" max="8" width="25" bestFit="1" customWidth="1"/>
    <col min="9" max="9" width="50" bestFit="1" customWidth="1"/>
    <col min="10" max="10" width="20.5703125" bestFit="1" customWidth="1"/>
    <col min="11" max="11" width="23.28515625" bestFit="1" customWidth="1"/>
  </cols>
  <sheetData>
    <row r="1" spans="2:11" x14ac:dyDescent="0.25">
      <c r="D1" s="77"/>
      <c r="E1" s="78"/>
      <c r="F1" s="77"/>
      <c r="G1" s="77"/>
      <c r="H1" s="77"/>
    </row>
    <row r="2" spans="2:11" x14ac:dyDescent="0.25">
      <c r="D2" s="79">
        <f>'Beregningsark klimaaftryk årsko'!C26</f>
        <v>11500</v>
      </c>
      <c r="E2" s="78" t="s">
        <v>77</v>
      </c>
      <c r="F2" s="77"/>
      <c r="G2" s="77"/>
      <c r="H2" s="77"/>
    </row>
    <row r="3" spans="2:11" x14ac:dyDescent="0.25">
      <c r="D3" s="77"/>
      <c r="E3" s="77"/>
      <c r="F3" s="77"/>
      <c r="G3" s="77"/>
      <c r="H3" s="77"/>
    </row>
    <row r="4" spans="2:11" ht="15.6" customHeight="1" x14ac:dyDescent="0.25">
      <c r="B4" t="s">
        <v>78</v>
      </c>
      <c r="C4" t="s">
        <v>79</v>
      </c>
      <c r="D4" s="77" t="s">
        <v>121</v>
      </c>
      <c r="E4" s="77" t="s">
        <v>120</v>
      </c>
      <c r="F4" s="77" t="s">
        <v>80</v>
      </c>
      <c r="G4" s="77" t="s">
        <v>81</v>
      </c>
      <c r="H4" s="77" t="s">
        <v>82</v>
      </c>
      <c r="I4" t="s">
        <v>126</v>
      </c>
      <c r="J4" t="s">
        <v>175</v>
      </c>
      <c r="K4" t="s">
        <v>176</v>
      </c>
    </row>
    <row r="5" spans="2:11" s="60" customFormat="1" ht="15.6" customHeight="1" x14ac:dyDescent="0.25">
      <c r="D5" s="80">
        <v>400</v>
      </c>
      <c r="E5" s="80" t="s">
        <v>119</v>
      </c>
      <c r="F5" s="80" t="s">
        <v>85</v>
      </c>
      <c r="G5" s="80" t="s">
        <v>86</v>
      </c>
      <c r="H5" s="80" t="s">
        <v>87</v>
      </c>
      <c r="I5" s="80" t="s">
        <v>88</v>
      </c>
    </row>
    <row r="6" spans="2:11" ht="15.6" customHeight="1" x14ac:dyDescent="0.25">
      <c r="B6" s="56" t="s">
        <v>83</v>
      </c>
      <c r="C6" t="s">
        <v>84</v>
      </c>
      <c r="D6">
        <v>444</v>
      </c>
      <c r="E6">
        <f>D6*F6*365/1000</f>
        <v>3913.42488</v>
      </c>
      <c r="F6" s="45">
        <f>0.0009*D2+13.798</f>
        <v>24.148</v>
      </c>
      <c r="G6" s="45">
        <f>0.0014*D2 + 17.444</f>
        <v>33.543999999999997</v>
      </c>
      <c r="H6" s="45">
        <f>-0.006*D2+371.64</f>
        <v>302.64</v>
      </c>
      <c r="I6" s="45">
        <f>(1.23*F6-0.145*G6+0.012*H6)*365</f>
        <v>10391.491600000001</v>
      </c>
      <c r="J6">
        <f>I6/55.65</f>
        <v>186.72940880503148</v>
      </c>
      <c r="K6">
        <f>J6*28</f>
        <v>5228.4234465408817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73"/>
  <sheetViews>
    <sheetView zoomScale="90" zoomScaleNormal="90" workbookViewId="0">
      <pane ySplit="1" topLeftCell="A2" activePane="bottomLeft" state="frozen"/>
      <selection pane="bottomLeft" activeCell="D31" sqref="D31"/>
    </sheetView>
  </sheetViews>
  <sheetFormatPr defaultRowHeight="15" x14ac:dyDescent="0.25"/>
  <cols>
    <col min="1" max="1" width="14.140625" style="5" bestFit="1" customWidth="1"/>
    <col min="2" max="2" width="16.7109375" style="5" bestFit="1" customWidth="1"/>
    <col min="3" max="3" width="66.7109375" style="5" bestFit="1" customWidth="1"/>
    <col min="4" max="4" width="85.5703125" style="5" customWidth="1"/>
    <col min="5" max="5" width="27.85546875" style="19" bestFit="1" customWidth="1"/>
    <col min="6" max="6" width="27.85546875" style="19" customWidth="1"/>
    <col min="7" max="7" width="22" customWidth="1"/>
    <col min="8" max="8" width="15.7109375" customWidth="1"/>
    <col min="9" max="9" width="28.5703125" customWidth="1"/>
    <col min="10" max="10" width="26.7109375" customWidth="1"/>
    <col min="11" max="11" width="17.42578125" customWidth="1"/>
  </cols>
  <sheetData>
    <row r="1" spans="1:13" s="11" customFormat="1" ht="15.75" x14ac:dyDescent="0.25">
      <c r="A1" s="11" t="s">
        <v>8</v>
      </c>
      <c r="B1" s="11" t="s">
        <v>9</v>
      </c>
      <c r="C1" s="11" t="s">
        <v>10</v>
      </c>
      <c r="D1" s="11" t="s">
        <v>11</v>
      </c>
      <c r="E1" s="120" t="s">
        <v>28</v>
      </c>
      <c r="F1" s="120"/>
      <c r="J1" s="12" t="s">
        <v>53</v>
      </c>
      <c r="K1" s="42"/>
    </row>
    <row r="2" spans="1:13" ht="21.75" customHeight="1" x14ac:dyDescent="0.25">
      <c r="A2" s="24"/>
      <c r="B2" s="13"/>
      <c r="C2" s="25" t="s">
        <v>12</v>
      </c>
      <c r="D2" s="13" t="s">
        <v>65</v>
      </c>
      <c r="E2" s="26" t="s">
        <v>48</v>
      </c>
      <c r="F2" s="27" t="s">
        <v>49</v>
      </c>
      <c r="G2" t="s">
        <v>52</v>
      </c>
      <c r="H2" t="s">
        <v>50</v>
      </c>
      <c r="I2" t="s">
        <v>61</v>
      </c>
      <c r="J2" s="21" t="s">
        <v>55</v>
      </c>
      <c r="K2" s="17" t="s">
        <v>54</v>
      </c>
    </row>
    <row r="3" spans="1:13" ht="21.75" customHeight="1" x14ac:dyDescent="0.25">
      <c r="A3" s="21"/>
      <c r="C3" s="36" t="s">
        <v>47</v>
      </c>
      <c r="D3" s="48">
        <v>0.45233644859813082</v>
      </c>
      <c r="E3" s="37">
        <v>160.5</v>
      </c>
      <c r="F3" s="38">
        <f>E3*D3</f>
        <v>72.599999999999994</v>
      </c>
      <c r="G3" s="52" t="s">
        <v>51</v>
      </c>
      <c r="H3" s="53">
        <v>5.0000000000000001E-3</v>
      </c>
      <c r="J3" s="47">
        <v>27.1</v>
      </c>
      <c r="K3" s="43">
        <f>J3*1000*0.08*0.8</f>
        <v>1734.4</v>
      </c>
    </row>
    <row r="4" spans="1:13" x14ac:dyDescent="0.25">
      <c r="A4" s="21">
        <v>1201</v>
      </c>
      <c r="B4" s="5">
        <v>1</v>
      </c>
      <c r="C4" s="5" t="s">
        <v>13</v>
      </c>
      <c r="D4" s="16" t="s">
        <v>26</v>
      </c>
      <c r="E4" s="18">
        <f>$E$3*0.6</f>
        <v>96.3</v>
      </c>
      <c r="F4" s="32">
        <f>$F$3*0.6</f>
        <v>43.559999999999995</v>
      </c>
      <c r="G4">
        <v>1.2</v>
      </c>
      <c r="H4" s="41">
        <f>G4*0.85*365*$H$3</f>
        <v>1.8615000000000002</v>
      </c>
      <c r="I4" s="45">
        <f>G4*0.85*(1-0.05)*365</f>
        <v>353.685</v>
      </c>
      <c r="J4" s="21"/>
      <c r="K4" s="40">
        <f>$K$3*0.6</f>
        <v>1040.6400000000001</v>
      </c>
    </row>
    <row r="5" spans="1:13" x14ac:dyDescent="0.25">
      <c r="A5" s="21"/>
      <c r="D5" s="16" t="s">
        <v>27</v>
      </c>
      <c r="E5" s="31">
        <f>$E$3*0.4</f>
        <v>64.2</v>
      </c>
      <c r="F5" s="32">
        <f>$F$3*0.4</f>
        <v>29.04</v>
      </c>
      <c r="H5" s="41"/>
      <c r="I5" s="45">
        <f t="shared" ref="I5:I68" si="0">G5*0.85*(1-0.05)*365</f>
        <v>0</v>
      </c>
      <c r="J5" s="21"/>
      <c r="K5" s="40">
        <f>$K$3*0.4</f>
        <v>693.7600000000001</v>
      </c>
    </row>
    <row r="6" spans="1:13" x14ac:dyDescent="0.25">
      <c r="A6" s="21">
        <v>1201</v>
      </c>
      <c r="B6" s="5">
        <v>2</v>
      </c>
      <c r="C6" s="5" t="s">
        <v>14</v>
      </c>
      <c r="D6" s="5" t="s">
        <v>15</v>
      </c>
      <c r="E6" s="19">
        <f>$E$3</f>
        <v>160.5</v>
      </c>
      <c r="F6" s="20">
        <f>$F$3</f>
        <v>72.599999999999994</v>
      </c>
      <c r="G6">
        <v>1.2</v>
      </c>
      <c r="H6" s="41">
        <f t="shared" ref="H6:H12" si="1">G6*0.85*365*$H$3</f>
        <v>1.8615000000000002</v>
      </c>
      <c r="I6" s="45">
        <f t="shared" si="0"/>
        <v>353.685</v>
      </c>
      <c r="J6" s="21"/>
      <c r="K6" s="20">
        <f t="shared" ref="K6:K11" si="2">$K$3</f>
        <v>1734.4</v>
      </c>
      <c r="L6">
        <f>K6/365</f>
        <v>4.7517808219178086</v>
      </c>
    </row>
    <row r="7" spans="1:13" x14ac:dyDescent="0.25">
      <c r="A7" s="21">
        <v>1201</v>
      </c>
      <c r="B7" s="5">
        <v>3</v>
      </c>
      <c r="C7" s="5" t="s">
        <v>5</v>
      </c>
      <c r="D7" s="5" t="s">
        <v>15</v>
      </c>
      <c r="E7" s="19">
        <f t="shared" ref="E7:E11" si="3">$E$3</f>
        <v>160.5</v>
      </c>
      <c r="F7" s="20">
        <f t="shared" ref="F7:F11" si="4">$F$3</f>
        <v>72.599999999999994</v>
      </c>
      <c r="G7">
        <v>0.4</v>
      </c>
      <c r="H7" s="41">
        <f>G7*0.85*365*$H$3</f>
        <v>0.62050000000000005</v>
      </c>
      <c r="I7" s="45">
        <f t="shared" si="0"/>
        <v>117.89500000000001</v>
      </c>
      <c r="J7" s="21"/>
      <c r="K7" s="20">
        <f t="shared" si="2"/>
        <v>1734.4</v>
      </c>
      <c r="M7" s="26"/>
    </row>
    <row r="8" spans="1:13" x14ac:dyDescent="0.25">
      <c r="A8" s="21">
        <v>1201</v>
      </c>
      <c r="B8" s="5">
        <v>4</v>
      </c>
      <c r="C8" s="5" t="s">
        <v>16</v>
      </c>
      <c r="D8" s="5" t="s">
        <v>15</v>
      </c>
      <c r="E8" s="19">
        <f>$E$3</f>
        <v>160.5</v>
      </c>
      <c r="F8" s="20">
        <f t="shared" si="4"/>
        <v>72.599999999999994</v>
      </c>
      <c r="G8">
        <v>0.4</v>
      </c>
      <c r="H8" s="41">
        <f t="shared" si="1"/>
        <v>0.62050000000000005</v>
      </c>
      <c r="I8" s="45">
        <f t="shared" si="0"/>
        <v>117.89500000000001</v>
      </c>
      <c r="J8" s="21"/>
      <c r="K8" s="20">
        <f t="shared" si="2"/>
        <v>1734.4</v>
      </c>
    </row>
    <row r="9" spans="1:13" x14ac:dyDescent="0.25">
      <c r="A9" s="21">
        <v>1201</v>
      </c>
      <c r="B9" s="5">
        <v>5</v>
      </c>
      <c r="C9" s="5" t="s">
        <v>17</v>
      </c>
      <c r="D9" s="5" t="s">
        <v>15</v>
      </c>
      <c r="E9" s="19">
        <f t="shared" si="3"/>
        <v>160.5</v>
      </c>
      <c r="F9" s="20">
        <f t="shared" si="4"/>
        <v>72.599999999999994</v>
      </c>
      <c r="G9">
        <v>0.4</v>
      </c>
      <c r="H9" s="41">
        <f t="shared" si="1"/>
        <v>0.62050000000000005</v>
      </c>
      <c r="I9" s="45">
        <f t="shared" si="0"/>
        <v>117.89500000000001</v>
      </c>
      <c r="J9" s="21"/>
      <c r="K9" s="20">
        <f t="shared" si="2"/>
        <v>1734.4</v>
      </c>
    </row>
    <row r="10" spans="1:13" x14ac:dyDescent="0.25">
      <c r="A10" s="21">
        <v>1201</v>
      </c>
      <c r="B10" s="5">
        <v>14</v>
      </c>
      <c r="C10" s="5" t="s">
        <v>18</v>
      </c>
      <c r="D10" s="5" t="s">
        <v>15</v>
      </c>
      <c r="E10" s="19">
        <f t="shared" si="3"/>
        <v>160.5</v>
      </c>
      <c r="F10" s="20">
        <f t="shared" si="4"/>
        <v>72.599999999999994</v>
      </c>
      <c r="G10">
        <v>0.4</v>
      </c>
      <c r="H10" s="41">
        <f t="shared" si="1"/>
        <v>0.62050000000000005</v>
      </c>
      <c r="I10" s="45">
        <f t="shared" si="0"/>
        <v>117.89500000000001</v>
      </c>
      <c r="J10" s="21"/>
      <c r="K10" s="20">
        <f t="shared" si="2"/>
        <v>1734.4</v>
      </c>
    </row>
    <row r="11" spans="1:13" x14ac:dyDescent="0.25">
      <c r="A11" s="21">
        <v>1201</v>
      </c>
      <c r="B11" s="5">
        <v>6</v>
      </c>
      <c r="C11" s="5" t="s">
        <v>19</v>
      </c>
      <c r="D11" s="5" t="s">
        <v>20</v>
      </c>
      <c r="E11" s="19">
        <f t="shared" si="3"/>
        <v>160.5</v>
      </c>
      <c r="F11" s="20">
        <f t="shared" si="4"/>
        <v>72.599999999999994</v>
      </c>
      <c r="G11">
        <v>12</v>
      </c>
      <c r="H11" s="41">
        <f t="shared" si="1"/>
        <v>18.614999999999998</v>
      </c>
      <c r="I11" s="45">
        <f t="shared" si="0"/>
        <v>3536.85</v>
      </c>
      <c r="J11" s="21"/>
      <c r="K11" s="20">
        <f t="shared" si="2"/>
        <v>1734.4</v>
      </c>
    </row>
    <row r="12" spans="1:13" x14ac:dyDescent="0.25">
      <c r="A12" s="21">
        <v>1201</v>
      </c>
      <c r="B12" s="5">
        <v>7</v>
      </c>
      <c r="C12" s="5" t="s">
        <v>21</v>
      </c>
      <c r="D12" s="16" t="s">
        <v>20</v>
      </c>
      <c r="E12" s="18">
        <f>$E$3*0.6</f>
        <v>96.3</v>
      </c>
      <c r="F12" s="32">
        <f>$F$3*0.6</f>
        <v>43.559999999999995</v>
      </c>
      <c r="G12">
        <v>10</v>
      </c>
      <c r="H12" s="41">
        <f t="shared" si="1"/>
        <v>15.512500000000001</v>
      </c>
      <c r="I12" s="45">
        <f t="shared" si="0"/>
        <v>2947.3749999999995</v>
      </c>
      <c r="J12" s="21"/>
      <c r="K12" s="40">
        <f>$K$3*0.6</f>
        <v>1040.6400000000001</v>
      </c>
    </row>
    <row r="13" spans="1:13" x14ac:dyDescent="0.25">
      <c r="A13" s="21">
        <v>1201</v>
      </c>
      <c r="B13" s="5">
        <v>7</v>
      </c>
      <c r="C13" s="5" t="s">
        <v>21</v>
      </c>
      <c r="D13" s="16" t="s">
        <v>15</v>
      </c>
      <c r="E13" s="31">
        <f>$E$3*0.4</f>
        <v>64.2</v>
      </c>
      <c r="F13" s="32">
        <f>$F$3*0.4</f>
        <v>29.04</v>
      </c>
      <c r="H13" s="41"/>
      <c r="I13" s="45">
        <f t="shared" si="0"/>
        <v>0</v>
      </c>
      <c r="J13" s="21"/>
      <c r="K13" s="40">
        <f>$K$3*0.4</f>
        <v>693.7600000000001</v>
      </c>
    </row>
    <row r="14" spans="1:13" x14ac:dyDescent="0.25">
      <c r="A14" s="21">
        <v>1201</v>
      </c>
      <c r="B14" s="5">
        <v>8</v>
      </c>
      <c r="C14" s="5" t="s">
        <v>22</v>
      </c>
      <c r="D14" s="16" t="s">
        <v>20</v>
      </c>
      <c r="E14" s="31">
        <f>$E$3*0.6</f>
        <v>96.3</v>
      </c>
      <c r="F14" s="32">
        <f>$F$3*0.6</f>
        <v>43.559999999999995</v>
      </c>
      <c r="G14">
        <v>10</v>
      </c>
      <c r="H14" s="41">
        <f>G14*0.85*365*$H$3</f>
        <v>15.512500000000001</v>
      </c>
      <c r="I14" s="45">
        <f t="shared" si="0"/>
        <v>2947.3749999999995</v>
      </c>
      <c r="J14" s="21"/>
      <c r="K14" s="40">
        <f>$K$3*0.6</f>
        <v>1040.6400000000001</v>
      </c>
    </row>
    <row r="15" spans="1:13" x14ac:dyDescent="0.25">
      <c r="A15" s="21">
        <v>1201</v>
      </c>
      <c r="B15" s="5">
        <v>8</v>
      </c>
      <c r="C15" s="5" t="s">
        <v>22</v>
      </c>
      <c r="D15" s="16" t="s">
        <v>15</v>
      </c>
      <c r="E15" s="31">
        <f>$E$3*0.4</f>
        <v>64.2</v>
      </c>
      <c r="F15" s="32">
        <f>$F$3*0.4</f>
        <v>29.04</v>
      </c>
      <c r="H15" s="41"/>
      <c r="I15" s="45">
        <f t="shared" si="0"/>
        <v>0</v>
      </c>
      <c r="J15" s="21"/>
      <c r="K15" s="40">
        <f>$K$3*0.4</f>
        <v>693.7600000000001</v>
      </c>
    </row>
    <row r="16" spans="1:13" x14ac:dyDescent="0.25">
      <c r="A16" s="21">
        <v>1201</v>
      </c>
      <c r="B16" s="5">
        <v>9</v>
      </c>
      <c r="C16" s="5" t="s">
        <v>23</v>
      </c>
      <c r="D16" s="16" t="s">
        <v>20</v>
      </c>
      <c r="E16" s="31">
        <f>$E$3*0.6</f>
        <v>96.3</v>
      </c>
      <c r="F16" s="32">
        <f>$F$3*0.6</f>
        <v>43.559999999999995</v>
      </c>
      <c r="G16">
        <v>10</v>
      </c>
      <c r="H16" s="41">
        <f>G16*0.85*365*$H$3</f>
        <v>15.512500000000001</v>
      </c>
      <c r="I16" s="45">
        <f t="shared" si="0"/>
        <v>2947.3749999999995</v>
      </c>
      <c r="J16" s="21"/>
      <c r="K16" s="40">
        <f>$K$3*0.6</f>
        <v>1040.6400000000001</v>
      </c>
    </row>
    <row r="17" spans="1:11" x14ac:dyDescent="0.25">
      <c r="A17" s="21">
        <v>1201</v>
      </c>
      <c r="B17" s="5">
        <v>9</v>
      </c>
      <c r="C17" s="5" t="s">
        <v>23</v>
      </c>
      <c r="D17" s="16" t="s">
        <v>15</v>
      </c>
      <c r="E17" s="31">
        <f>$E$3*0.4</f>
        <v>64.2</v>
      </c>
      <c r="F17" s="32">
        <f>$F$3*0.4</f>
        <v>29.04</v>
      </c>
      <c r="H17" s="41"/>
      <c r="I17" s="45">
        <f t="shared" si="0"/>
        <v>0</v>
      </c>
      <c r="J17" s="21"/>
      <c r="K17" s="40">
        <f>$K$3*0.4</f>
        <v>693.7600000000001</v>
      </c>
    </row>
    <row r="18" spans="1:11" x14ac:dyDescent="0.25">
      <c r="A18" s="5">
        <v>1201</v>
      </c>
      <c r="B18" s="5">
        <v>15</v>
      </c>
      <c r="C18" s="5" t="s">
        <v>24</v>
      </c>
      <c r="D18" s="16" t="s">
        <v>20</v>
      </c>
      <c r="E18" s="31">
        <f>$E$3*0.6</f>
        <v>96.3</v>
      </c>
      <c r="F18" s="32">
        <f>$F$3*0.6</f>
        <v>43.559999999999995</v>
      </c>
      <c r="G18">
        <v>10</v>
      </c>
      <c r="H18" s="41">
        <f>G18*0.85*365*$H$3</f>
        <v>15.512500000000001</v>
      </c>
      <c r="I18" s="45">
        <f t="shared" si="0"/>
        <v>2947.3749999999995</v>
      </c>
      <c r="J18" s="21"/>
      <c r="K18" s="40">
        <f>$K$3*0.6</f>
        <v>1040.6400000000001</v>
      </c>
    </row>
    <row r="19" spans="1:11" x14ac:dyDescent="0.25">
      <c r="A19" s="5">
        <v>1201</v>
      </c>
      <c r="B19" s="5">
        <v>15</v>
      </c>
      <c r="C19" s="5" t="s">
        <v>24</v>
      </c>
      <c r="D19" s="16" t="s">
        <v>15</v>
      </c>
      <c r="E19" s="31">
        <f>$E$3*0.4</f>
        <v>64.2</v>
      </c>
      <c r="F19" s="32">
        <f>$F$3*0.4</f>
        <v>29.04</v>
      </c>
      <c r="H19" s="41"/>
      <c r="I19" s="45">
        <f t="shared" si="0"/>
        <v>0</v>
      </c>
      <c r="J19" s="21"/>
      <c r="K19" s="40">
        <f>$K$3*0.4</f>
        <v>693.7600000000001</v>
      </c>
    </row>
    <row r="20" spans="1:11" ht="25.5" customHeight="1" x14ac:dyDescent="0.25">
      <c r="A20" s="24"/>
      <c r="B20" s="13"/>
      <c r="C20" s="25" t="s">
        <v>25</v>
      </c>
      <c r="D20" s="13"/>
      <c r="E20" s="26"/>
      <c r="F20" s="27"/>
      <c r="H20" s="41"/>
      <c r="I20" s="45"/>
      <c r="J20" s="21"/>
      <c r="K20" s="17"/>
    </row>
    <row r="21" spans="1:11" ht="25.5" customHeight="1" x14ac:dyDescent="0.25">
      <c r="A21" s="21"/>
      <c r="C21" s="36" t="s">
        <v>47</v>
      </c>
      <c r="D21" s="48">
        <v>0.45210727969348657</v>
      </c>
      <c r="E21" s="37">
        <v>130.5</v>
      </c>
      <c r="F21" s="38">
        <f>E21*D21</f>
        <v>59</v>
      </c>
      <c r="H21" s="41"/>
      <c r="I21" s="45"/>
      <c r="J21" s="47">
        <v>22.2</v>
      </c>
      <c r="K21" s="43">
        <f>J21*1000*0.08*0.8</f>
        <v>1420.8000000000002</v>
      </c>
    </row>
    <row r="22" spans="1:11" x14ac:dyDescent="0.25">
      <c r="A22" s="21">
        <v>1231</v>
      </c>
      <c r="B22" s="5">
        <v>1</v>
      </c>
      <c r="C22" s="5" t="s">
        <v>13</v>
      </c>
      <c r="D22" s="16" t="s">
        <v>26</v>
      </c>
      <c r="E22" s="34">
        <f>$E$21*0.6</f>
        <v>78.3</v>
      </c>
      <c r="F22" s="35">
        <f>$F$21*0.6</f>
        <v>35.4</v>
      </c>
      <c r="G22">
        <v>1</v>
      </c>
      <c r="H22" s="41">
        <f>G22*0.85*365*$H$3</f>
        <v>1.55125</v>
      </c>
      <c r="I22" s="45">
        <f t="shared" si="0"/>
        <v>294.73750000000001</v>
      </c>
      <c r="J22" s="21"/>
      <c r="K22" s="40">
        <f>$K$21*0.6</f>
        <v>852.48000000000013</v>
      </c>
    </row>
    <row r="23" spans="1:11" x14ac:dyDescent="0.25">
      <c r="A23" s="21">
        <v>1231</v>
      </c>
      <c r="B23" s="5">
        <v>1</v>
      </c>
      <c r="C23" s="5" t="s">
        <v>13</v>
      </c>
      <c r="D23" s="16" t="s">
        <v>27</v>
      </c>
      <c r="E23" s="34">
        <f>$E$21*0.4</f>
        <v>52.2</v>
      </c>
      <c r="F23" s="35">
        <f>$F$21*0.4</f>
        <v>23.6</v>
      </c>
      <c r="H23" s="41"/>
      <c r="I23" s="45">
        <f t="shared" si="0"/>
        <v>0</v>
      </c>
      <c r="J23" s="21"/>
      <c r="K23" s="40">
        <f>$K$21*0.4</f>
        <v>568.32000000000005</v>
      </c>
    </row>
    <row r="24" spans="1:11" x14ac:dyDescent="0.25">
      <c r="A24" s="21">
        <v>1231</v>
      </c>
      <c r="B24" s="5">
        <v>2</v>
      </c>
      <c r="C24" s="5" t="s">
        <v>14</v>
      </c>
      <c r="D24" s="5" t="s">
        <v>15</v>
      </c>
      <c r="E24" s="19">
        <f>$E$21</f>
        <v>130.5</v>
      </c>
      <c r="F24" s="20">
        <f>$F$21</f>
        <v>59</v>
      </c>
      <c r="G24">
        <v>1</v>
      </c>
      <c r="H24" s="41">
        <f t="shared" ref="H24:H30" si="5">G24*0.85*365*$H$3</f>
        <v>1.55125</v>
      </c>
      <c r="I24" s="45">
        <f t="shared" si="0"/>
        <v>294.73750000000001</v>
      </c>
      <c r="J24" s="21"/>
      <c r="K24" s="20">
        <f>$K$21</f>
        <v>1420.8000000000002</v>
      </c>
    </row>
    <row r="25" spans="1:11" x14ac:dyDescent="0.25">
      <c r="A25" s="21">
        <v>1231</v>
      </c>
      <c r="B25" s="5">
        <v>3</v>
      </c>
      <c r="C25" s="5" t="s">
        <v>5</v>
      </c>
      <c r="D25" s="5" t="s">
        <v>15</v>
      </c>
      <c r="E25" s="19">
        <f t="shared" ref="E25:E29" si="6">$E$21</f>
        <v>130.5</v>
      </c>
      <c r="F25" s="20">
        <f t="shared" ref="F25:F29" si="7">$F$21</f>
        <v>59</v>
      </c>
      <c r="G25">
        <v>0.3</v>
      </c>
      <c r="H25" s="41">
        <f t="shared" si="5"/>
        <v>0.46537500000000004</v>
      </c>
      <c r="I25" s="45">
        <f t="shared" si="0"/>
        <v>88.421250000000001</v>
      </c>
      <c r="J25" s="21"/>
      <c r="K25" s="20">
        <f t="shared" ref="K25:K29" si="8">$K$21</f>
        <v>1420.8000000000002</v>
      </c>
    </row>
    <row r="26" spans="1:11" x14ac:dyDescent="0.25">
      <c r="A26" s="21">
        <v>1231</v>
      </c>
      <c r="B26" s="5">
        <v>4</v>
      </c>
      <c r="C26" s="5" t="s">
        <v>16</v>
      </c>
      <c r="D26" s="5" t="s">
        <v>15</v>
      </c>
      <c r="E26" s="19">
        <f t="shared" si="6"/>
        <v>130.5</v>
      </c>
      <c r="F26" s="20">
        <f t="shared" si="7"/>
        <v>59</v>
      </c>
      <c r="G26">
        <v>0.3</v>
      </c>
      <c r="H26" s="41">
        <f t="shared" si="5"/>
        <v>0.46537500000000004</v>
      </c>
      <c r="I26" s="45">
        <f t="shared" si="0"/>
        <v>88.421250000000001</v>
      </c>
      <c r="J26" s="21"/>
      <c r="K26" s="20">
        <f t="shared" si="8"/>
        <v>1420.8000000000002</v>
      </c>
    </row>
    <row r="27" spans="1:11" x14ac:dyDescent="0.25">
      <c r="A27" s="21">
        <v>1231</v>
      </c>
      <c r="B27" s="5">
        <v>5</v>
      </c>
      <c r="C27" s="5" t="s">
        <v>17</v>
      </c>
      <c r="D27" s="5" t="s">
        <v>15</v>
      </c>
      <c r="E27" s="19">
        <f t="shared" si="6"/>
        <v>130.5</v>
      </c>
      <c r="F27" s="20">
        <f t="shared" si="7"/>
        <v>59</v>
      </c>
      <c r="G27">
        <v>0.3</v>
      </c>
      <c r="H27" s="41">
        <f t="shared" si="5"/>
        <v>0.46537500000000004</v>
      </c>
      <c r="I27" s="45">
        <f t="shared" si="0"/>
        <v>88.421250000000001</v>
      </c>
      <c r="J27" s="21"/>
      <c r="K27" s="20">
        <f t="shared" si="8"/>
        <v>1420.8000000000002</v>
      </c>
    </row>
    <row r="28" spans="1:11" x14ac:dyDescent="0.25">
      <c r="A28" s="21">
        <v>1231</v>
      </c>
      <c r="B28" s="5">
        <v>14</v>
      </c>
      <c r="C28" s="5" t="s">
        <v>18</v>
      </c>
      <c r="D28" s="5" t="s">
        <v>15</v>
      </c>
      <c r="E28" s="19">
        <f t="shared" si="6"/>
        <v>130.5</v>
      </c>
      <c r="F28" s="20">
        <f t="shared" si="7"/>
        <v>59</v>
      </c>
      <c r="G28">
        <v>0.3</v>
      </c>
      <c r="H28" s="41">
        <f t="shared" si="5"/>
        <v>0.46537500000000004</v>
      </c>
      <c r="I28" s="45">
        <f t="shared" si="0"/>
        <v>88.421250000000001</v>
      </c>
      <c r="J28" s="21"/>
      <c r="K28" s="20">
        <f t="shared" si="8"/>
        <v>1420.8000000000002</v>
      </c>
    </row>
    <row r="29" spans="1:11" x14ac:dyDescent="0.25">
      <c r="A29" s="21">
        <v>1231</v>
      </c>
      <c r="B29" s="5">
        <v>6</v>
      </c>
      <c r="C29" s="5" t="s">
        <v>19</v>
      </c>
      <c r="D29" s="5" t="s">
        <v>20</v>
      </c>
      <c r="E29" s="19">
        <f t="shared" si="6"/>
        <v>130.5</v>
      </c>
      <c r="F29" s="20">
        <f t="shared" si="7"/>
        <v>59</v>
      </c>
      <c r="G29">
        <v>10</v>
      </c>
      <c r="H29" s="41">
        <f t="shared" si="5"/>
        <v>15.512500000000001</v>
      </c>
      <c r="I29" s="45">
        <f t="shared" si="0"/>
        <v>2947.3749999999995</v>
      </c>
      <c r="J29" s="21"/>
      <c r="K29" s="20">
        <f t="shared" si="8"/>
        <v>1420.8000000000002</v>
      </c>
    </row>
    <row r="30" spans="1:11" x14ac:dyDescent="0.25">
      <c r="A30" s="21">
        <v>1231</v>
      </c>
      <c r="B30" s="5">
        <v>7</v>
      </c>
      <c r="C30" s="5" t="s">
        <v>21</v>
      </c>
      <c r="D30" s="16" t="s">
        <v>20</v>
      </c>
      <c r="E30" s="31">
        <f>$E$21*0.6</f>
        <v>78.3</v>
      </c>
      <c r="F30" s="32">
        <f>$F$21*0.6</f>
        <v>35.4</v>
      </c>
      <c r="G30">
        <v>8</v>
      </c>
      <c r="H30" s="41">
        <f t="shared" si="5"/>
        <v>12.41</v>
      </c>
      <c r="I30" s="45">
        <f t="shared" si="0"/>
        <v>2357.9</v>
      </c>
      <c r="J30" s="21"/>
      <c r="K30" s="40">
        <f>$K$21*0.6</f>
        <v>852.48000000000013</v>
      </c>
    </row>
    <row r="31" spans="1:11" x14ac:dyDescent="0.25">
      <c r="A31" s="21">
        <v>1231</v>
      </c>
      <c r="B31" s="5">
        <v>7</v>
      </c>
      <c r="C31" s="5" t="s">
        <v>21</v>
      </c>
      <c r="D31" s="16" t="s">
        <v>15</v>
      </c>
      <c r="E31" s="31">
        <f>$E$21*0.4</f>
        <v>52.2</v>
      </c>
      <c r="F31" s="32">
        <f>$F$21*0.4</f>
        <v>23.6</v>
      </c>
      <c r="H31" s="41"/>
      <c r="I31" s="45">
        <f t="shared" si="0"/>
        <v>0</v>
      </c>
      <c r="J31" s="21"/>
      <c r="K31" s="40">
        <f>$K$21*0.4</f>
        <v>568.32000000000005</v>
      </c>
    </row>
    <row r="32" spans="1:11" x14ac:dyDescent="0.25">
      <c r="A32" s="21">
        <v>1231</v>
      </c>
      <c r="B32" s="5">
        <v>8</v>
      </c>
      <c r="C32" s="5" t="s">
        <v>22</v>
      </c>
      <c r="D32" s="16" t="s">
        <v>20</v>
      </c>
      <c r="E32" s="31">
        <f>$E$21*0.6</f>
        <v>78.3</v>
      </c>
      <c r="F32" s="32">
        <f>$F$21*0.6</f>
        <v>35.4</v>
      </c>
      <c r="G32">
        <v>8</v>
      </c>
      <c r="H32" s="41">
        <f>G32*0.85*365*$H$3</f>
        <v>12.41</v>
      </c>
      <c r="I32" s="45">
        <f t="shared" si="0"/>
        <v>2357.9</v>
      </c>
      <c r="J32" s="21"/>
      <c r="K32" s="40">
        <f>$K$21*0.6</f>
        <v>852.48000000000013</v>
      </c>
    </row>
    <row r="33" spans="1:11" x14ac:dyDescent="0.25">
      <c r="A33" s="21">
        <v>1231</v>
      </c>
      <c r="B33" s="5">
        <v>8</v>
      </c>
      <c r="C33" s="5" t="s">
        <v>22</v>
      </c>
      <c r="D33" s="16" t="s">
        <v>15</v>
      </c>
      <c r="E33" s="31">
        <f>$E$21*0.4</f>
        <v>52.2</v>
      </c>
      <c r="F33" s="32">
        <f>$F$21*0.4</f>
        <v>23.6</v>
      </c>
      <c r="H33" s="41"/>
      <c r="I33" s="45">
        <f t="shared" si="0"/>
        <v>0</v>
      </c>
      <c r="J33" s="21"/>
      <c r="K33" s="40">
        <f>$K$21*0.4</f>
        <v>568.32000000000005</v>
      </c>
    </row>
    <row r="34" spans="1:11" x14ac:dyDescent="0.25">
      <c r="A34" s="21">
        <v>1231</v>
      </c>
      <c r="B34" s="5">
        <v>9</v>
      </c>
      <c r="C34" s="5" t="s">
        <v>23</v>
      </c>
      <c r="D34" s="16" t="s">
        <v>20</v>
      </c>
      <c r="E34" s="31">
        <f>$E$21*0.6</f>
        <v>78.3</v>
      </c>
      <c r="F34" s="32">
        <f>$F$21*0.6</f>
        <v>35.4</v>
      </c>
      <c r="G34">
        <v>8</v>
      </c>
      <c r="H34" s="41">
        <f>G34*0.85*365*$H$3</f>
        <v>12.41</v>
      </c>
      <c r="I34" s="45">
        <f t="shared" si="0"/>
        <v>2357.9</v>
      </c>
      <c r="J34" s="21"/>
      <c r="K34" s="40">
        <f>$K$21*0.6</f>
        <v>852.48000000000013</v>
      </c>
    </row>
    <row r="35" spans="1:11" x14ac:dyDescent="0.25">
      <c r="A35" s="21">
        <v>1231</v>
      </c>
      <c r="B35" s="5">
        <v>9</v>
      </c>
      <c r="C35" s="5" t="s">
        <v>23</v>
      </c>
      <c r="D35" s="16" t="s">
        <v>15</v>
      </c>
      <c r="E35" s="31">
        <f>$E$21*0.4</f>
        <v>52.2</v>
      </c>
      <c r="F35" s="32">
        <f>$F$21*0.4</f>
        <v>23.6</v>
      </c>
      <c r="H35" s="41"/>
      <c r="I35" s="45">
        <f t="shared" si="0"/>
        <v>0</v>
      </c>
      <c r="J35" s="21"/>
      <c r="K35" s="40">
        <f>$K$21*0.4</f>
        <v>568.32000000000005</v>
      </c>
    </row>
    <row r="36" spans="1:11" x14ac:dyDescent="0.25">
      <c r="A36" s="21">
        <v>1231</v>
      </c>
      <c r="B36" s="5">
        <v>15</v>
      </c>
      <c r="C36" s="5" t="s">
        <v>24</v>
      </c>
      <c r="D36" s="16" t="s">
        <v>20</v>
      </c>
      <c r="E36" s="31">
        <f>$E$21*0.6</f>
        <v>78.3</v>
      </c>
      <c r="F36" s="32">
        <f>$F$21*0.6</f>
        <v>35.4</v>
      </c>
      <c r="G36">
        <v>8</v>
      </c>
      <c r="H36" s="41">
        <f>G36*0.85*365*$H$3</f>
        <v>12.41</v>
      </c>
      <c r="I36" s="45">
        <f t="shared" si="0"/>
        <v>2357.9</v>
      </c>
      <c r="J36" s="21"/>
      <c r="K36" s="40">
        <f>$K$21*0.6</f>
        <v>852.48000000000013</v>
      </c>
    </row>
    <row r="37" spans="1:11" x14ac:dyDescent="0.25">
      <c r="A37" s="21">
        <v>1231</v>
      </c>
      <c r="B37" s="5">
        <v>15</v>
      </c>
      <c r="C37" s="5" t="s">
        <v>24</v>
      </c>
      <c r="D37" s="16" t="s">
        <v>15</v>
      </c>
      <c r="E37" s="31">
        <f>$E$21*0.4</f>
        <v>52.2</v>
      </c>
      <c r="F37" s="32">
        <f>$F$21*0.4</f>
        <v>23.6</v>
      </c>
      <c r="H37" s="41"/>
      <c r="I37" s="45">
        <f t="shared" si="0"/>
        <v>0</v>
      </c>
      <c r="J37" s="21"/>
      <c r="K37" s="40">
        <f>$K$21*0.4</f>
        <v>568.32000000000005</v>
      </c>
    </row>
    <row r="38" spans="1:11" x14ac:dyDescent="0.25">
      <c r="A38" s="24"/>
      <c r="B38" s="13"/>
      <c r="C38" s="25" t="s">
        <v>29</v>
      </c>
      <c r="D38" s="13"/>
      <c r="E38" s="26"/>
      <c r="F38" s="27"/>
      <c r="H38" s="41"/>
      <c r="I38" s="45"/>
      <c r="J38" s="21"/>
      <c r="K38" s="17"/>
    </row>
    <row r="39" spans="1:11" x14ac:dyDescent="0.25">
      <c r="A39" s="21"/>
      <c r="C39" s="36" t="s">
        <v>47</v>
      </c>
      <c r="D39" s="48">
        <v>0.7078651685393258</v>
      </c>
      <c r="E39" s="55">
        <v>26.7</v>
      </c>
      <c r="F39" s="38">
        <f>E39*D39</f>
        <v>18.899999999999999</v>
      </c>
      <c r="H39" s="41"/>
      <c r="I39" s="45"/>
      <c r="J39" s="47">
        <v>2.46</v>
      </c>
      <c r="K39" s="43">
        <f>J39*1000*0.08*0.8</f>
        <v>157.44000000000003</v>
      </c>
    </row>
    <row r="40" spans="1:11" x14ac:dyDescent="0.25">
      <c r="A40" s="21">
        <v>1202</v>
      </c>
      <c r="B40" s="7">
        <v>1</v>
      </c>
      <c r="C40" s="5" t="s">
        <v>19</v>
      </c>
      <c r="D40" s="5" t="s">
        <v>4</v>
      </c>
      <c r="E40" s="19">
        <f>$E$39</f>
        <v>26.7</v>
      </c>
      <c r="F40" s="20">
        <f>$F$39</f>
        <v>18.899999999999999</v>
      </c>
      <c r="G40">
        <v>1.5</v>
      </c>
      <c r="H40" s="41">
        <f>G40*0.85*365*$H$3</f>
        <v>2.3268749999999998</v>
      </c>
      <c r="I40" s="45">
        <f t="shared" si="0"/>
        <v>442.10624999999999</v>
      </c>
      <c r="J40" s="21"/>
      <c r="K40" s="20">
        <f>$K$39</f>
        <v>157.44000000000003</v>
      </c>
    </row>
    <row r="41" spans="1:11" x14ac:dyDescent="0.25">
      <c r="A41" s="28">
        <v>1202</v>
      </c>
      <c r="B41" s="22">
        <v>2</v>
      </c>
      <c r="C41" s="22" t="s">
        <v>30</v>
      </c>
      <c r="D41" s="22" t="s">
        <v>4</v>
      </c>
      <c r="E41" s="29">
        <f>$E$39</f>
        <v>26.7</v>
      </c>
      <c r="F41" s="30">
        <f>$F$39</f>
        <v>18.899999999999999</v>
      </c>
      <c r="G41">
        <v>1.5</v>
      </c>
      <c r="H41" s="41">
        <f>G41*0.85*365*$H$3</f>
        <v>2.3268749999999998</v>
      </c>
      <c r="I41" s="45">
        <f t="shared" si="0"/>
        <v>442.10624999999999</v>
      </c>
      <c r="J41" s="21"/>
      <c r="K41" s="30">
        <f>$K$39</f>
        <v>157.44000000000003</v>
      </c>
    </row>
    <row r="42" spans="1:11" x14ac:dyDescent="0.25">
      <c r="A42" s="24"/>
      <c r="B42" s="13"/>
      <c r="C42" s="25" t="s">
        <v>31</v>
      </c>
      <c r="D42" s="13"/>
      <c r="E42" s="26"/>
      <c r="F42" s="27"/>
      <c r="H42" s="41"/>
      <c r="I42" s="45">
        <f t="shared" si="0"/>
        <v>0</v>
      </c>
      <c r="J42" s="21"/>
      <c r="K42" s="17"/>
    </row>
    <row r="43" spans="1:11" x14ac:dyDescent="0.25">
      <c r="A43" s="21"/>
      <c r="C43" s="36" t="s">
        <v>47</v>
      </c>
      <c r="D43" s="48">
        <v>0.7078651685393258</v>
      </c>
      <c r="E43" s="55">
        <v>26.7</v>
      </c>
      <c r="F43" s="38">
        <f>E43*D43</f>
        <v>18.899999999999999</v>
      </c>
      <c r="H43" s="41"/>
      <c r="I43" s="45">
        <f t="shared" si="0"/>
        <v>0</v>
      </c>
      <c r="J43" s="47">
        <v>1.84</v>
      </c>
      <c r="K43" s="43">
        <f>J43*1000*0.08*0.8</f>
        <v>117.76000000000002</v>
      </c>
    </row>
    <row r="44" spans="1:11" x14ac:dyDescent="0.25">
      <c r="A44" s="21">
        <v>1232</v>
      </c>
      <c r="B44" s="5">
        <v>1</v>
      </c>
      <c r="C44" s="5" t="s">
        <v>19</v>
      </c>
      <c r="D44" s="5" t="s">
        <v>4</v>
      </c>
      <c r="E44" s="19">
        <f>$E$43</f>
        <v>26.7</v>
      </c>
      <c r="F44" s="20">
        <f>$F$43</f>
        <v>18.899999999999999</v>
      </c>
      <c r="G44">
        <v>1.2</v>
      </c>
      <c r="H44" s="41">
        <f>G44*0.85*365*$H$3</f>
        <v>1.8615000000000002</v>
      </c>
      <c r="I44" s="45">
        <f t="shared" si="0"/>
        <v>353.685</v>
      </c>
      <c r="J44" s="21"/>
      <c r="K44" s="20">
        <f>$K$43</f>
        <v>117.76000000000002</v>
      </c>
    </row>
    <row r="45" spans="1:11" x14ac:dyDescent="0.25">
      <c r="A45" s="28">
        <v>1232</v>
      </c>
      <c r="B45" s="22">
        <v>2</v>
      </c>
      <c r="C45" s="22" t="s">
        <v>30</v>
      </c>
      <c r="D45" s="22" t="s">
        <v>4</v>
      </c>
      <c r="E45" s="19">
        <f>$E$43</f>
        <v>26.7</v>
      </c>
      <c r="F45" s="20">
        <f>$F$43</f>
        <v>18.899999999999999</v>
      </c>
      <c r="G45">
        <v>1.2</v>
      </c>
      <c r="H45" s="41">
        <f>G45*0.85*365*$H$3</f>
        <v>1.8615000000000002</v>
      </c>
      <c r="I45" s="45">
        <f t="shared" si="0"/>
        <v>353.685</v>
      </c>
      <c r="J45" s="21"/>
      <c r="K45" s="30">
        <f>$K$43</f>
        <v>117.76000000000002</v>
      </c>
    </row>
    <row r="46" spans="1:11" x14ac:dyDescent="0.25">
      <c r="A46" s="24"/>
      <c r="B46" s="13"/>
      <c r="C46" s="25" t="s">
        <v>37</v>
      </c>
      <c r="D46" s="13"/>
      <c r="F46" s="27"/>
      <c r="H46" s="41"/>
      <c r="I46" s="45"/>
      <c r="J46" s="21"/>
      <c r="K46" s="17"/>
    </row>
    <row r="47" spans="1:11" x14ac:dyDescent="0.25">
      <c r="A47" s="21"/>
      <c r="C47" s="36" t="s">
        <v>47</v>
      </c>
      <c r="D47" s="48">
        <v>0.67261904761904756</v>
      </c>
      <c r="E47" s="55">
        <v>50.4</v>
      </c>
      <c r="F47" s="38">
        <f>E47*D47</f>
        <v>33.9</v>
      </c>
      <c r="H47" s="41"/>
      <c r="I47" s="45"/>
      <c r="J47" s="47">
        <v>5.68</v>
      </c>
      <c r="K47" s="43">
        <f>J47*1000*0.08*0.8</f>
        <v>363.52000000000004</v>
      </c>
    </row>
    <row r="48" spans="1:11" x14ac:dyDescent="0.25">
      <c r="A48" s="21">
        <v>1203</v>
      </c>
      <c r="B48" s="7">
        <v>1</v>
      </c>
      <c r="C48" s="5" t="s">
        <v>13</v>
      </c>
      <c r="D48" s="16" t="s">
        <v>26</v>
      </c>
      <c r="E48" s="19">
        <f>$E$47*0.6</f>
        <v>30.24</v>
      </c>
      <c r="F48" s="20">
        <f>$F$47*0.6</f>
        <v>20.34</v>
      </c>
      <c r="G48">
        <v>0.75</v>
      </c>
      <c r="H48" s="41">
        <f>G48*0.85*365*$H$3</f>
        <v>1.1634374999999999</v>
      </c>
      <c r="I48" s="45">
        <f t="shared" si="0"/>
        <v>221.05312499999999</v>
      </c>
      <c r="J48" s="21"/>
      <c r="K48" s="20">
        <f>$K$47*0.6</f>
        <v>218.11200000000002</v>
      </c>
    </row>
    <row r="49" spans="1:11" x14ac:dyDescent="0.25">
      <c r="A49" s="21">
        <v>1203</v>
      </c>
      <c r="B49" s="7">
        <v>1</v>
      </c>
      <c r="C49" s="5" t="s">
        <v>13</v>
      </c>
      <c r="D49" s="16" t="s">
        <v>27</v>
      </c>
      <c r="E49" s="19">
        <f>$E$47*0.4</f>
        <v>20.16</v>
      </c>
      <c r="F49" s="20">
        <f>$F$47*0.4</f>
        <v>13.56</v>
      </c>
      <c r="H49" s="41"/>
      <c r="I49" s="45">
        <f t="shared" si="0"/>
        <v>0</v>
      </c>
      <c r="J49" s="21"/>
      <c r="K49" s="20">
        <f>$K$47*0.4</f>
        <v>145.40800000000002</v>
      </c>
    </row>
    <row r="50" spans="1:11" x14ac:dyDescent="0.25">
      <c r="A50" s="21">
        <v>1203</v>
      </c>
      <c r="B50" s="7">
        <v>2</v>
      </c>
      <c r="C50" s="5" t="s">
        <v>14</v>
      </c>
      <c r="D50" s="5" t="s">
        <v>15</v>
      </c>
      <c r="E50" s="19">
        <f>$E$47</f>
        <v>50.4</v>
      </c>
      <c r="F50" s="20">
        <f>$F$47</f>
        <v>33.9</v>
      </c>
      <c r="G50">
        <v>0.75</v>
      </c>
      <c r="H50" s="41">
        <f t="shared" ref="H50:H57" si="9">G50*0.85*365*$H$3</f>
        <v>1.1634374999999999</v>
      </c>
      <c r="I50" s="45">
        <f t="shared" si="0"/>
        <v>221.05312499999999</v>
      </c>
      <c r="J50" s="21"/>
      <c r="K50" s="20">
        <f>$K$47</f>
        <v>363.52000000000004</v>
      </c>
    </row>
    <row r="51" spans="1:11" x14ac:dyDescent="0.25">
      <c r="A51" s="21">
        <v>1203</v>
      </c>
      <c r="B51" s="7">
        <v>3</v>
      </c>
      <c r="C51" s="5" t="s">
        <v>5</v>
      </c>
      <c r="D51" s="5" t="s">
        <v>15</v>
      </c>
      <c r="E51" s="19">
        <f t="shared" ref="E51:E63" si="10">$E$47</f>
        <v>50.4</v>
      </c>
      <c r="F51" s="20">
        <f t="shared" ref="F51:F63" si="11">$F$47</f>
        <v>33.9</v>
      </c>
      <c r="G51">
        <v>0.3</v>
      </c>
      <c r="H51" s="41">
        <f t="shared" si="9"/>
        <v>0.46537500000000004</v>
      </c>
      <c r="I51" s="45">
        <f t="shared" si="0"/>
        <v>88.421250000000001</v>
      </c>
      <c r="J51" s="21"/>
      <c r="K51" s="20">
        <f t="shared" ref="K51:K56" si="12">$K$47</f>
        <v>363.52000000000004</v>
      </c>
    </row>
    <row r="52" spans="1:11" x14ac:dyDescent="0.25">
      <c r="A52" s="21">
        <v>1203</v>
      </c>
      <c r="B52" s="7">
        <v>4</v>
      </c>
      <c r="C52" s="5" t="s">
        <v>32</v>
      </c>
      <c r="D52" s="5" t="s">
        <v>15</v>
      </c>
      <c r="E52" s="19">
        <f t="shared" si="10"/>
        <v>50.4</v>
      </c>
      <c r="F52" s="20">
        <f t="shared" si="11"/>
        <v>33.9</v>
      </c>
      <c r="G52">
        <v>0.3</v>
      </c>
      <c r="H52" s="41">
        <f t="shared" si="9"/>
        <v>0.46537500000000004</v>
      </c>
      <c r="I52" s="45">
        <f t="shared" si="0"/>
        <v>88.421250000000001</v>
      </c>
      <c r="J52" s="21"/>
      <c r="K52" s="20">
        <f t="shared" si="12"/>
        <v>363.52000000000004</v>
      </c>
    </row>
    <row r="53" spans="1:11" x14ac:dyDescent="0.25">
      <c r="A53" s="21">
        <v>1203</v>
      </c>
      <c r="B53" s="7">
        <v>5</v>
      </c>
      <c r="C53" s="5" t="s">
        <v>33</v>
      </c>
      <c r="D53" s="5" t="s">
        <v>15</v>
      </c>
      <c r="E53" s="19">
        <f t="shared" si="10"/>
        <v>50.4</v>
      </c>
      <c r="F53" s="20">
        <f t="shared" si="11"/>
        <v>33.9</v>
      </c>
      <c r="G53">
        <v>0.3</v>
      </c>
      <c r="H53" s="41">
        <f t="shared" si="9"/>
        <v>0.46537500000000004</v>
      </c>
      <c r="I53" s="45">
        <f t="shared" si="0"/>
        <v>88.421250000000001</v>
      </c>
      <c r="J53" s="21"/>
      <c r="K53" s="20">
        <f t="shared" si="12"/>
        <v>363.52000000000004</v>
      </c>
    </row>
    <row r="54" spans="1:11" x14ac:dyDescent="0.25">
      <c r="A54" s="21">
        <v>1203</v>
      </c>
      <c r="B54" s="7">
        <v>16</v>
      </c>
      <c r="C54" s="5" t="s">
        <v>46</v>
      </c>
      <c r="D54" s="5" t="s">
        <v>15</v>
      </c>
      <c r="E54" s="19">
        <f t="shared" si="10"/>
        <v>50.4</v>
      </c>
      <c r="F54" s="20">
        <f t="shared" si="11"/>
        <v>33.9</v>
      </c>
      <c r="G54">
        <v>0.3</v>
      </c>
      <c r="H54" s="41">
        <f t="shared" si="9"/>
        <v>0.46537500000000004</v>
      </c>
      <c r="I54" s="45">
        <f t="shared" si="0"/>
        <v>88.421250000000001</v>
      </c>
      <c r="J54" s="21"/>
      <c r="K54" s="20">
        <f t="shared" si="12"/>
        <v>363.52000000000004</v>
      </c>
    </row>
    <row r="55" spans="1:11" x14ac:dyDescent="0.25">
      <c r="A55" s="21">
        <v>1203</v>
      </c>
      <c r="B55" s="7">
        <v>6</v>
      </c>
      <c r="C55" s="5" t="s">
        <v>34</v>
      </c>
      <c r="D55" s="5" t="s">
        <v>20</v>
      </c>
      <c r="E55" s="19">
        <f t="shared" si="10"/>
        <v>50.4</v>
      </c>
      <c r="F55" s="20">
        <f t="shared" si="11"/>
        <v>33.9</v>
      </c>
      <c r="G55">
        <v>6</v>
      </c>
      <c r="H55" s="41">
        <f t="shared" si="9"/>
        <v>9.3074999999999992</v>
      </c>
      <c r="I55" s="45">
        <f t="shared" si="0"/>
        <v>1768.425</v>
      </c>
      <c r="J55" s="21"/>
      <c r="K55" s="20">
        <f t="shared" si="12"/>
        <v>363.52000000000004</v>
      </c>
    </row>
    <row r="56" spans="1:11" ht="16.5" customHeight="1" x14ac:dyDescent="0.25">
      <c r="A56" s="21">
        <v>1203</v>
      </c>
      <c r="B56" s="7">
        <v>7</v>
      </c>
      <c r="C56" s="5" t="s">
        <v>30</v>
      </c>
      <c r="D56" s="16" t="s">
        <v>20</v>
      </c>
      <c r="E56" s="19">
        <f>$E$47</f>
        <v>50.4</v>
      </c>
      <c r="F56" s="20">
        <f t="shared" si="11"/>
        <v>33.9</v>
      </c>
      <c r="G56">
        <v>5</v>
      </c>
      <c r="H56" s="41">
        <f t="shared" si="9"/>
        <v>7.7562500000000005</v>
      </c>
      <c r="I56" s="45">
        <f t="shared" si="0"/>
        <v>1473.6874999999998</v>
      </c>
      <c r="J56" s="21"/>
      <c r="K56" s="20">
        <f t="shared" si="12"/>
        <v>363.52000000000004</v>
      </c>
    </row>
    <row r="57" spans="1:11" x14ac:dyDescent="0.25">
      <c r="A57" s="21">
        <v>1203</v>
      </c>
      <c r="B57" s="7">
        <v>8</v>
      </c>
      <c r="C57" s="5" t="s">
        <v>21</v>
      </c>
      <c r="D57" s="16" t="s">
        <v>4</v>
      </c>
      <c r="E57" s="19">
        <f>$E$47*0.6</f>
        <v>30.24</v>
      </c>
      <c r="F57" s="20">
        <f>$F$47*0.6</f>
        <v>20.34</v>
      </c>
      <c r="G57">
        <v>5</v>
      </c>
      <c r="H57" s="41">
        <f t="shared" si="9"/>
        <v>7.7562500000000005</v>
      </c>
      <c r="I57" s="45">
        <f t="shared" si="0"/>
        <v>1473.6874999999998</v>
      </c>
      <c r="J57" s="21"/>
      <c r="K57" s="20">
        <f>$K$47*0.6</f>
        <v>218.11200000000002</v>
      </c>
    </row>
    <row r="58" spans="1:11" x14ac:dyDescent="0.25">
      <c r="A58" s="21">
        <v>1203</v>
      </c>
      <c r="B58" s="7">
        <v>8</v>
      </c>
      <c r="C58" s="5" t="s">
        <v>21</v>
      </c>
      <c r="D58" s="16" t="s">
        <v>15</v>
      </c>
      <c r="E58" s="19">
        <f>$E$47*0.4</f>
        <v>20.16</v>
      </c>
      <c r="F58" s="20">
        <f>$F$47*0.4</f>
        <v>13.56</v>
      </c>
      <c r="H58" s="41"/>
      <c r="I58" s="45">
        <f t="shared" si="0"/>
        <v>0</v>
      </c>
      <c r="J58" s="21"/>
      <c r="K58" s="20">
        <f>$K$47*0.4</f>
        <v>145.40800000000002</v>
      </c>
    </row>
    <row r="59" spans="1:11" x14ac:dyDescent="0.25">
      <c r="A59" s="21">
        <v>1203</v>
      </c>
      <c r="B59" s="7">
        <v>9</v>
      </c>
      <c r="C59" s="5" t="s">
        <v>22</v>
      </c>
      <c r="D59" s="16" t="s">
        <v>4</v>
      </c>
      <c r="E59" s="19">
        <f>$E$47*0.6</f>
        <v>30.24</v>
      </c>
      <c r="F59" s="20">
        <f>$F$47*0.6</f>
        <v>20.34</v>
      </c>
      <c r="G59">
        <v>5</v>
      </c>
      <c r="H59" s="41">
        <f>G59*0.85*365*$H$3</f>
        <v>7.7562500000000005</v>
      </c>
      <c r="I59" s="45">
        <f t="shared" si="0"/>
        <v>1473.6874999999998</v>
      </c>
      <c r="J59" s="21"/>
      <c r="K59" s="20">
        <f>$K$47*0.6</f>
        <v>218.11200000000002</v>
      </c>
    </row>
    <row r="60" spans="1:11" x14ac:dyDescent="0.25">
      <c r="A60" s="21">
        <v>1203</v>
      </c>
      <c r="B60" s="7">
        <v>9</v>
      </c>
      <c r="C60" s="5" t="s">
        <v>22</v>
      </c>
      <c r="D60" s="16" t="s">
        <v>15</v>
      </c>
      <c r="E60" s="19">
        <f>$E$47*0.4</f>
        <v>20.16</v>
      </c>
      <c r="F60" s="20">
        <f>$F$47*0.4</f>
        <v>13.56</v>
      </c>
      <c r="H60" s="41"/>
      <c r="I60" s="45">
        <f t="shared" si="0"/>
        <v>0</v>
      </c>
      <c r="J60" s="21"/>
      <c r="K60" s="20">
        <f>$K$47*0.4</f>
        <v>145.40800000000002</v>
      </c>
    </row>
    <row r="61" spans="1:11" x14ac:dyDescent="0.25">
      <c r="A61" s="21">
        <v>1203</v>
      </c>
      <c r="B61" s="7">
        <v>10</v>
      </c>
      <c r="C61" s="5" t="s">
        <v>23</v>
      </c>
      <c r="D61" s="16" t="s">
        <v>4</v>
      </c>
      <c r="E61" s="19">
        <f>$E$47*0.6</f>
        <v>30.24</v>
      </c>
      <c r="F61" s="20">
        <f>$F$47*0.6</f>
        <v>20.34</v>
      </c>
      <c r="G61">
        <v>5</v>
      </c>
      <c r="H61" s="41">
        <f>G61*0.85*365*$H$3</f>
        <v>7.7562500000000005</v>
      </c>
      <c r="I61" s="45">
        <f t="shared" si="0"/>
        <v>1473.6874999999998</v>
      </c>
      <c r="J61" s="21"/>
      <c r="K61" s="20">
        <f>$K$47*0.6</f>
        <v>218.11200000000002</v>
      </c>
    </row>
    <row r="62" spans="1:11" x14ac:dyDescent="0.25">
      <c r="A62" s="21">
        <v>1203</v>
      </c>
      <c r="B62" s="7">
        <v>10</v>
      </c>
      <c r="C62" s="5" t="s">
        <v>23</v>
      </c>
      <c r="D62" s="16" t="s">
        <v>15</v>
      </c>
      <c r="E62" s="19">
        <f>$E$47*0.4</f>
        <v>20.16</v>
      </c>
      <c r="F62" s="20">
        <f>$F$47*0.4</f>
        <v>13.56</v>
      </c>
      <c r="H62" s="41"/>
      <c r="I62" s="45">
        <f t="shared" si="0"/>
        <v>0</v>
      </c>
      <c r="J62" s="21"/>
      <c r="K62" s="20">
        <f>$K$47*0.4</f>
        <v>145.40800000000002</v>
      </c>
    </row>
    <row r="63" spans="1:11" x14ac:dyDescent="0.25">
      <c r="A63" s="5">
        <v>1203</v>
      </c>
      <c r="B63" s="5">
        <v>12</v>
      </c>
      <c r="C63" s="5" t="s">
        <v>35</v>
      </c>
      <c r="D63" s="39" t="s">
        <v>15</v>
      </c>
      <c r="E63" s="19">
        <f t="shared" si="10"/>
        <v>50.4</v>
      </c>
      <c r="F63" s="20">
        <f t="shared" si="11"/>
        <v>33.9</v>
      </c>
      <c r="H63" s="41"/>
      <c r="I63" s="45">
        <f t="shared" si="0"/>
        <v>0</v>
      </c>
      <c r="J63" s="21"/>
      <c r="K63" s="20">
        <f>$K$47</f>
        <v>363.52000000000004</v>
      </c>
    </row>
    <row r="64" spans="1:11" x14ac:dyDescent="0.25">
      <c r="A64" s="24"/>
      <c r="B64" s="13"/>
      <c r="C64" s="25" t="s">
        <v>38</v>
      </c>
      <c r="D64" s="13"/>
      <c r="E64" s="26"/>
      <c r="F64" s="27"/>
      <c r="H64" s="41"/>
      <c r="I64" s="45"/>
      <c r="J64" s="21"/>
      <c r="K64" s="17"/>
    </row>
    <row r="65" spans="1:11" x14ac:dyDescent="0.25">
      <c r="A65" s="21"/>
      <c r="C65" s="36" t="s">
        <v>47</v>
      </c>
      <c r="D65" s="48">
        <v>0.67018469656992086</v>
      </c>
      <c r="E65" s="55">
        <v>37.9</v>
      </c>
      <c r="F65" s="38">
        <f>E65*D65</f>
        <v>25.4</v>
      </c>
      <c r="H65" s="41"/>
      <c r="I65" s="45"/>
      <c r="J65" s="47">
        <v>4.26</v>
      </c>
      <c r="K65" s="43">
        <f>J65*1000*0.08*0.8</f>
        <v>272.64000000000004</v>
      </c>
    </row>
    <row r="66" spans="1:11" x14ac:dyDescent="0.25">
      <c r="A66" s="21">
        <v>1233</v>
      </c>
      <c r="B66" s="7">
        <v>1</v>
      </c>
      <c r="C66" s="5" t="s">
        <v>13</v>
      </c>
      <c r="D66" s="16" t="s">
        <v>26</v>
      </c>
      <c r="E66" s="19">
        <f>$E$65*0.6</f>
        <v>22.74</v>
      </c>
      <c r="F66" s="20">
        <f>$F$65*0.6</f>
        <v>15.239999999999998</v>
      </c>
      <c r="G66">
        <v>0.6</v>
      </c>
      <c r="H66" s="41">
        <f>G66*0.85*365*$H$3</f>
        <v>0.93075000000000008</v>
      </c>
      <c r="I66" s="45">
        <f t="shared" si="0"/>
        <v>176.8425</v>
      </c>
      <c r="J66" s="21"/>
      <c r="K66" s="20">
        <f>$K$65*0.6</f>
        <v>163.58400000000003</v>
      </c>
    </row>
    <row r="67" spans="1:11" x14ac:dyDescent="0.25">
      <c r="A67" s="21">
        <v>1233</v>
      </c>
      <c r="B67" s="7">
        <v>1</v>
      </c>
      <c r="C67" s="5" t="s">
        <v>13</v>
      </c>
      <c r="D67" s="16" t="s">
        <v>27</v>
      </c>
      <c r="E67" s="19">
        <f>$E$65*0.4</f>
        <v>15.16</v>
      </c>
      <c r="F67" s="20">
        <f>$F$65*0.4</f>
        <v>10.16</v>
      </c>
      <c r="H67" s="41"/>
      <c r="I67" s="45">
        <f t="shared" si="0"/>
        <v>0</v>
      </c>
      <c r="J67" s="21"/>
      <c r="K67" s="20">
        <f>$K$65*0.4</f>
        <v>109.05600000000003</v>
      </c>
    </row>
    <row r="68" spans="1:11" x14ac:dyDescent="0.25">
      <c r="A68" s="21">
        <v>1233</v>
      </c>
      <c r="B68" s="7">
        <v>2</v>
      </c>
      <c r="C68" s="5" t="s">
        <v>14</v>
      </c>
      <c r="D68" s="5" t="s">
        <v>15</v>
      </c>
      <c r="E68" s="19">
        <f>$E$65</f>
        <v>37.9</v>
      </c>
      <c r="F68" s="20">
        <f>$F$65</f>
        <v>25.4</v>
      </c>
      <c r="G68">
        <v>0.6</v>
      </c>
      <c r="H68" s="41">
        <f t="shared" ref="H68:H75" si="13">G68*0.85*365*$H$3</f>
        <v>0.93075000000000008</v>
      </c>
      <c r="I68" s="45">
        <f t="shared" si="0"/>
        <v>176.8425</v>
      </c>
      <c r="J68" s="21"/>
      <c r="K68" s="20">
        <f t="shared" ref="K68:K74" si="14">$K$65</f>
        <v>272.64000000000004</v>
      </c>
    </row>
    <row r="69" spans="1:11" x14ac:dyDescent="0.25">
      <c r="A69" s="21">
        <v>1233</v>
      </c>
      <c r="B69" s="7">
        <v>3</v>
      </c>
      <c r="C69" s="5" t="s">
        <v>5</v>
      </c>
      <c r="D69" s="5" t="s">
        <v>15</v>
      </c>
      <c r="E69" s="19">
        <f t="shared" ref="E69:E81" si="15">$E$65</f>
        <v>37.9</v>
      </c>
      <c r="F69" s="20">
        <f t="shared" ref="F69:F81" si="16">$F$65</f>
        <v>25.4</v>
      </c>
      <c r="G69">
        <v>0.2</v>
      </c>
      <c r="H69" s="41">
        <f t="shared" si="13"/>
        <v>0.31025000000000003</v>
      </c>
      <c r="I69" s="45">
        <f t="shared" ref="I69:I132" si="17">G69*0.85*(1-0.05)*365</f>
        <v>58.947500000000005</v>
      </c>
      <c r="J69" s="21"/>
      <c r="K69" s="20">
        <f t="shared" si="14"/>
        <v>272.64000000000004</v>
      </c>
    </row>
    <row r="70" spans="1:11" x14ac:dyDescent="0.25">
      <c r="A70" s="21">
        <v>1233</v>
      </c>
      <c r="B70" s="7">
        <v>4</v>
      </c>
      <c r="C70" s="5" t="s">
        <v>32</v>
      </c>
      <c r="D70" s="5" t="s">
        <v>15</v>
      </c>
      <c r="E70" s="19">
        <f t="shared" si="15"/>
        <v>37.9</v>
      </c>
      <c r="F70" s="20">
        <f t="shared" si="16"/>
        <v>25.4</v>
      </c>
      <c r="G70">
        <v>0.2</v>
      </c>
      <c r="H70" s="41">
        <f t="shared" si="13"/>
        <v>0.31025000000000003</v>
      </c>
      <c r="I70" s="45">
        <f t="shared" si="17"/>
        <v>58.947500000000005</v>
      </c>
      <c r="J70" s="21"/>
      <c r="K70" s="20">
        <f t="shared" si="14"/>
        <v>272.64000000000004</v>
      </c>
    </row>
    <row r="71" spans="1:11" x14ac:dyDescent="0.25">
      <c r="A71" s="21">
        <v>1233</v>
      </c>
      <c r="B71" s="7">
        <v>5</v>
      </c>
      <c r="C71" s="5" t="s">
        <v>33</v>
      </c>
      <c r="D71" s="5" t="s">
        <v>15</v>
      </c>
      <c r="E71" s="19">
        <f t="shared" si="15"/>
        <v>37.9</v>
      </c>
      <c r="F71" s="20">
        <f t="shared" si="16"/>
        <v>25.4</v>
      </c>
      <c r="G71">
        <v>0.2</v>
      </c>
      <c r="H71" s="41">
        <f t="shared" si="13"/>
        <v>0.31025000000000003</v>
      </c>
      <c r="I71" s="45">
        <f t="shared" si="17"/>
        <v>58.947500000000005</v>
      </c>
      <c r="J71" s="21"/>
      <c r="K71" s="20">
        <f t="shared" si="14"/>
        <v>272.64000000000004</v>
      </c>
    </row>
    <row r="72" spans="1:11" x14ac:dyDescent="0.25">
      <c r="A72" s="21">
        <v>1233</v>
      </c>
      <c r="B72" s="7">
        <v>16</v>
      </c>
      <c r="C72" s="5" t="s">
        <v>36</v>
      </c>
      <c r="D72" s="5" t="s">
        <v>15</v>
      </c>
      <c r="E72" s="19">
        <f t="shared" si="15"/>
        <v>37.9</v>
      </c>
      <c r="F72" s="20">
        <f t="shared" si="16"/>
        <v>25.4</v>
      </c>
      <c r="G72">
        <v>0.2</v>
      </c>
      <c r="H72" s="41">
        <f t="shared" si="13"/>
        <v>0.31025000000000003</v>
      </c>
      <c r="I72" s="45">
        <f t="shared" si="17"/>
        <v>58.947500000000005</v>
      </c>
      <c r="J72" s="21"/>
      <c r="K72" s="20">
        <f t="shared" si="14"/>
        <v>272.64000000000004</v>
      </c>
    </row>
    <row r="73" spans="1:11" x14ac:dyDescent="0.25">
      <c r="A73" s="21">
        <v>1233</v>
      </c>
      <c r="B73" s="7">
        <v>6</v>
      </c>
      <c r="C73" s="5" t="s">
        <v>34</v>
      </c>
      <c r="D73" s="5" t="s">
        <v>20</v>
      </c>
      <c r="E73" s="19">
        <f t="shared" si="15"/>
        <v>37.9</v>
      </c>
      <c r="F73" s="20">
        <f t="shared" si="16"/>
        <v>25.4</v>
      </c>
      <c r="G73">
        <v>5</v>
      </c>
      <c r="H73" s="41">
        <f t="shared" si="13"/>
        <v>7.7562500000000005</v>
      </c>
      <c r="I73" s="45">
        <f t="shared" si="17"/>
        <v>1473.6874999999998</v>
      </c>
      <c r="J73" s="21"/>
      <c r="K73" s="20">
        <f t="shared" si="14"/>
        <v>272.64000000000004</v>
      </c>
    </row>
    <row r="74" spans="1:11" x14ac:dyDescent="0.25">
      <c r="A74" s="21">
        <v>1233</v>
      </c>
      <c r="B74" s="7">
        <v>7</v>
      </c>
      <c r="C74" s="5" t="s">
        <v>30</v>
      </c>
      <c r="D74" s="16" t="s">
        <v>20</v>
      </c>
      <c r="E74" s="19">
        <f t="shared" si="15"/>
        <v>37.9</v>
      </c>
      <c r="F74" s="20">
        <f t="shared" si="16"/>
        <v>25.4</v>
      </c>
      <c r="G74">
        <v>4</v>
      </c>
      <c r="H74" s="41">
        <f t="shared" si="13"/>
        <v>6.2050000000000001</v>
      </c>
      <c r="I74" s="45">
        <f t="shared" si="17"/>
        <v>1178.95</v>
      </c>
      <c r="J74" s="21"/>
      <c r="K74" s="20">
        <f t="shared" si="14"/>
        <v>272.64000000000004</v>
      </c>
    </row>
    <row r="75" spans="1:11" x14ac:dyDescent="0.25">
      <c r="A75" s="21">
        <v>1233</v>
      </c>
      <c r="B75" s="7">
        <v>8</v>
      </c>
      <c r="C75" s="5" t="s">
        <v>21</v>
      </c>
      <c r="D75" s="16" t="s">
        <v>20</v>
      </c>
      <c r="E75" s="19">
        <f>$E$65*0.6</f>
        <v>22.74</v>
      </c>
      <c r="F75" s="20">
        <f>$F$65*0.6</f>
        <v>15.239999999999998</v>
      </c>
      <c r="G75">
        <v>4</v>
      </c>
      <c r="H75" s="41">
        <f t="shared" si="13"/>
        <v>6.2050000000000001</v>
      </c>
      <c r="I75" s="45">
        <f t="shared" si="17"/>
        <v>1178.95</v>
      </c>
      <c r="J75" s="21"/>
      <c r="K75" s="20">
        <f>$K$65*0.6</f>
        <v>163.58400000000003</v>
      </c>
    </row>
    <row r="76" spans="1:11" x14ac:dyDescent="0.25">
      <c r="A76" s="21">
        <v>1233</v>
      </c>
      <c r="B76" s="7">
        <v>8</v>
      </c>
      <c r="C76" s="5" t="s">
        <v>21</v>
      </c>
      <c r="D76" s="16" t="s">
        <v>15</v>
      </c>
      <c r="E76" s="19">
        <f>$E$65*0.4</f>
        <v>15.16</v>
      </c>
      <c r="F76" s="20">
        <f>$F$65*0.4</f>
        <v>10.16</v>
      </c>
      <c r="H76" s="41"/>
      <c r="I76" s="45">
        <f t="shared" si="17"/>
        <v>0</v>
      </c>
      <c r="J76" s="21"/>
      <c r="K76" s="20">
        <f>$K$65*0.4</f>
        <v>109.05600000000003</v>
      </c>
    </row>
    <row r="77" spans="1:11" x14ac:dyDescent="0.25">
      <c r="A77" s="21">
        <v>1233</v>
      </c>
      <c r="B77" s="7">
        <v>9</v>
      </c>
      <c r="C77" s="5" t="s">
        <v>22</v>
      </c>
      <c r="D77" s="16" t="s">
        <v>20</v>
      </c>
      <c r="E77" s="19">
        <f>$E$65*0.6</f>
        <v>22.74</v>
      </c>
      <c r="F77" s="20">
        <f>$F$65*0.6</f>
        <v>15.239999999999998</v>
      </c>
      <c r="G77">
        <v>4</v>
      </c>
      <c r="H77" s="41">
        <f>G77*0.85*365*$H$3</f>
        <v>6.2050000000000001</v>
      </c>
      <c r="I77" s="45">
        <f t="shared" si="17"/>
        <v>1178.95</v>
      </c>
      <c r="J77" s="21"/>
      <c r="K77" s="20">
        <f>$K$65*0.6</f>
        <v>163.58400000000003</v>
      </c>
    </row>
    <row r="78" spans="1:11" x14ac:dyDescent="0.25">
      <c r="A78" s="21">
        <v>1233</v>
      </c>
      <c r="B78" s="7">
        <v>9</v>
      </c>
      <c r="C78" s="5" t="s">
        <v>22</v>
      </c>
      <c r="D78" s="16" t="s">
        <v>15</v>
      </c>
      <c r="E78" s="19">
        <f>$E$65*0.4</f>
        <v>15.16</v>
      </c>
      <c r="F78" s="20">
        <f>$F$65*0.4</f>
        <v>10.16</v>
      </c>
      <c r="H78" s="41"/>
      <c r="I78" s="45">
        <f t="shared" si="17"/>
        <v>0</v>
      </c>
      <c r="J78" s="21"/>
      <c r="K78" s="20">
        <f>$K$65*0.4</f>
        <v>109.05600000000003</v>
      </c>
    </row>
    <row r="79" spans="1:11" x14ac:dyDescent="0.25">
      <c r="A79" s="21">
        <v>1233</v>
      </c>
      <c r="B79" s="7">
        <v>10</v>
      </c>
      <c r="C79" s="5" t="s">
        <v>23</v>
      </c>
      <c r="D79" s="16" t="s">
        <v>20</v>
      </c>
      <c r="E79" s="19">
        <f>$E$65*0.6</f>
        <v>22.74</v>
      </c>
      <c r="F79" s="20">
        <f>$F$65*0.6</f>
        <v>15.239999999999998</v>
      </c>
      <c r="G79">
        <v>4</v>
      </c>
      <c r="H79" s="41">
        <f>G79*0.85*365*$H$3</f>
        <v>6.2050000000000001</v>
      </c>
      <c r="I79" s="45">
        <f t="shared" si="17"/>
        <v>1178.95</v>
      </c>
      <c r="J79" s="21"/>
      <c r="K79" s="20">
        <f>$K$65*0.6</f>
        <v>163.58400000000003</v>
      </c>
    </row>
    <row r="80" spans="1:11" x14ac:dyDescent="0.25">
      <c r="A80" s="21">
        <v>1233</v>
      </c>
      <c r="B80" s="7">
        <v>10</v>
      </c>
      <c r="C80" s="5" t="s">
        <v>23</v>
      </c>
      <c r="D80" s="16" t="s">
        <v>15</v>
      </c>
      <c r="E80" s="19">
        <f>$E$65*0.4</f>
        <v>15.16</v>
      </c>
      <c r="F80" s="20">
        <f>$F$65*0.4</f>
        <v>10.16</v>
      </c>
      <c r="H80" s="41"/>
      <c r="I80" s="45">
        <f t="shared" si="17"/>
        <v>0</v>
      </c>
      <c r="J80" s="21"/>
      <c r="K80" s="20">
        <f>$K$65*0.4</f>
        <v>109.05600000000003</v>
      </c>
    </row>
    <row r="81" spans="1:11" x14ac:dyDescent="0.25">
      <c r="A81" s="21">
        <v>1233</v>
      </c>
      <c r="B81" s="22">
        <v>12</v>
      </c>
      <c r="C81" s="22" t="s">
        <v>35</v>
      </c>
      <c r="D81" s="33" t="s">
        <v>15</v>
      </c>
      <c r="E81" s="19">
        <f t="shared" si="15"/>
        <v>37.9</v>
      </c>
      <c r="F81" s="30">
        <f t="shared" si="16"/>
        <v>25.4</v>
      </c>
      <c r="H81" s="41"/>
      <c r="I81" s="45">
        <f t="shared" si="17"/>
        <v>0</v>
      </c>
      <c r="J81" s="21"/>
      <c r="K81" s="30">
        <f>$K$65</f>
        <v>272.64000000000004</v>
      </c>
    </row>
    <row r="82" spans="1:11" x14ac:dyDescent="0.25">
      <c r="A82" s="24"/>
      <c r="B82" s="13"/>
      <c r="C82" s="25" t="s">
        <v>39</v>
      </c>
      <c r="D82" s="13"/>
      <c r="E82" s="26"/>
      <c r="F82" s="27"/>
      <c r="H82" s="41"/>
      <c r="I82" s="45"/>
      <c r="J82" s="21"/>
      <c r="K82" s="17"/>
    </row>
    <row r="83" spans="1:11" x14ac:dyDescent="0.25">
      <c r="A83" s="21"/>
      <c r="C83" s="36" t="s">
        <v>47</v>
      </c>
      <c r="D83" s="48">
        <v>0.6457006369426751</v>
      </c>
      <c r="E83" s="37">
        <v>12.56</v>
      </c>
      <c r="F83" s="38">
        <f>E83*D83</f>
        <v>8.11</v>
      </c>
      <c r="H83" s="41"/>
      <c r="I83" s="45"/>
      <c r="J83" s="47">
        <v>1.37</v>
      </c>
      <c r="K83" s="43">
        <f>J83*1000*0.08*0.8</f>
        <v>87.68</v>
      </c>
    </row>
    <row r="84" spans="1:11" x14ac:dyDescent="0.25">
      <c r="A84" s="21">
        <v>1204</v>
      </c>
      <c r="B84" s="7">
        <v>1</v>
      </c>
      <c r="C84" s="5" t="s">
        <v>19</v>
      </c>
      <c r="D84" s="5" t="s">
        <v>4</v>
      </c>
      <c r="E84" s="19">
        <f>$E$83</f>
        <v>12.56</v>
      </c>
      <c r="F84" s="20">
        <f>$F$83</f>
        <v>8.11</v>
      </c>
      <c r="G84">
        <v>1.5</v>
      </c>
      <c r="H84" s="41">
        <f>G84*0.85*365*$H$3</f>
        <v>2.3268749999999998</v>
      </c>
      <c r="I84" s="45">
        <f t="shared" si="17"/>
        <v>442.10624999999999</v>
      </c>
      <c r="J84" s="21"/>
      <c r="K84" s="20">
        <f>$K$83</f>
        <v>87.68</v>
      </c>
    </row>
    <row r="85" spans="1:11" x14ac:dyDescent="0.25">
      <c r="A85" s="28">
        <v>1204</v>
      </c>
      <c r="B85" s="22">
        <v>2</v>
      </c>
      <c r="C85" s="22" t="s">
        <v>30</v>
      </c>
      <c r="D85" s="22" t="s">
        <v>4</v>
      </c>
      <c r="E85" s="29">
        <f>$E$83</f>
        <v>12.56</v>
      </c>
      <c r="F85" s="30">
        <f>$F$83</f>
        <v>8.11</v>
      </c>
      <c r="G85">
        <v>1.5</v>
      </c>
      <c r="H85" s="41">
        <f>G85*0.85*365*$H$3</f>
        <v>2.3268749999999998</v>
      </c>
      <c r="I85" s="45">
        <f t="shared" si="17"/>
        <v>442.10624999999999</v>
      </c>
      <c r="J85" s="21"/>
      <c r="K85" s="30">
        <f>$K$83</f>
        <v>87.68</v>
      </c>
    </row>
    <row r="86" spans="1:11" x14ac:dyDescent="0.25">
      <c r="A86" s="24"/>
      <c r="B86" s="13"/>
      <c r="C86" s="25" t="s">
        <v>40</v>
      </c>
      <c r="D86" s="13"/>
      <c r="E86" s="26"/>
      <c r="F86" s="27"/>
      <c r="H86" s="41"/>
      <c r="I86" s="45"/>
      <c r="J86" s="21"/>
      <c r="K86" s="17"/>
    </row>
    <row r="87" spans="1:11" x14ac:dyDescent="0.25">
      <c r="A87" s="21"/>
      <c r="C87" s="36" t="s">
        <v>47</v>
      </c>
      <c r="D87" s="48">
        <v>0.6542261251372119</v>
      </c>
      <c r="E87" s="37">
        <v>9.11</v>
      </c>
      <c r="F87" s="38">
        <f>E87*D87</f>
        <v>5.96</v>
      </c>
      <c r="H87" s="41"/>
      <c r="I87" s="45"/>
      <c r="J87" s="47">
        <v>0.97</v>
      </c>
      <c r="K87" s="43">
        <f>J87*1000*0.08*0.8</f>
        <v>62.080000000000013</v>
      </c>
    </row>
    <row r="88" spans="1:11" x14ac:dyDescent="0.25">
      <c r="A88" s="21">
        <v>1234</v>
      </c>
      <c r="B88" s="7">
        <v>1</v>
      </c>
      <c r="C88" s="5" t="s">
        <v>19</v>
      </c>
      <c r="D88" s="5" t="s">
        <v>4</v>
      </c>
      <c r="E88" s="19">
        <f>$E$87</f>
        <v>9.11</v>
      </c>
      <c r="F88" s="20">
        <f>$F$87</f>
        <v>5.96</v>
      </c>
      <c r="G88">
        <v>1.2</v>
      </c>
      <c r="H88" s="41">
        <f>G88*0.85*365*$H$3</f>
        <v>1.8615000000000002</v>
      </c>
      <c r="I88" s="45">
        <f t="shared" si="17"/>
        <v>353.685</v>
      </c>
      <c r="J88" s="21"/>
      <c r="K88" s="20">
        <f>$K$87</f>
        <v>62.080000000000013</v>
      </c>
    </row>
    <row r="89" spans="1:11" x14ac:dyDescent="0.25">
      <c r="A89" s="28">
        <v>1234</v>
      </c>
      <c r="B89" s="22">
        <v>2</v>
      </c>
      <c r="C89" s="22" t="s">
        <v>30</v>
      </c>
      <c r="D89" s="22" t="s">
        <v>4</v>
      </c>
      <c r="E89" s="29">
        <f>E87</f>
        <v>9.11</v>
      </c>
      <c r="F89" s="30">
        <f>$F$87</f>
        <v>5.96</v>
      </c>
      <c r="G89">
        <v>1.2</v>
      </c>
      <c r="H89" s="41">
        <f>G89*0.85*365*$H$3</f>
        <v>1.8615000000000002</v>
      </c>
      <c r="I89" s="45">
        <f t="shared" si="17"/>
        <v>353.685</v>
      </c>
      <c r="J89" s="21"/>
      <c r="K89" s="30">
        <f>$K$87</f>
        <v>62.080000000000013</v>
      </c>
    </row>
    <row r="90" spans="1:11" x14ac:dyDescent="0.25">
      <c r="A90" s="24"/>
      <c r="B90" s="13"/>
      <c r="C90" s="25" t="s">
        <v>41</v>
      </c>
      <c r="D90" s="13"/>
      <c r="E90" s="26"/>
      <c r="F90" s="27"/>
      <c r="H90" s="41"/>
      <c r="I90" s="45"/>
      <c r="J90" s="21"/>
      <c r="K90" s="17"/>
    </row>
    <row r="91" spans="1:11" x14ac:dyDescent="0.25">
      <c r="A91" s="21"/>
      <c r="C91" s="36" t="s">
        <v>47</v>
      </c>
      <c r="D91" s="48">
        <v>0.66382978723404251</v>
      </c>
      <c r="E91" s="37">
        <v>23.5</v>
      </c>
      <c r="F91" s="38">
        <f>E91*D91</f>
        <v>15.6</v>
      </c>
      <c r="H91" s="41"/>
      <c r="I91" s="45"/>
      <c r="J91" s="47">
        <v>2.72</v>
      </c>
      <c r="K91" s="43">
        <f>J91*1000*0.08*0.8</f>
        <v>174.08</v>
      </c>
    </row>
    <row r="92" spans="1:11" x14ac:dyDescent="0.25">
      <c r="A92" s="21">
        <v>1205</v>
      </c>
      <c r="B92" s="7">
        <v>1</v>
      </c>
      <c r="C92" s="5" t="s">
        <v>13</v>
      </c>
      <c r="D92" s="16" t="s">
        <v>26</v>
      </c>
      <c r="E92" s="19">
        <f>$E$91*0.6</f>
        <v>14.1</v>
      </c>
      <c r="F92" s="20">
        <f>$F$91*0.6</f>
        <v>9.36</v>
      </c>
      <c r="G92">
        <v>0.75</v>
      </c>
      <c r="H92" s="41">
        <f>G92*0.85*365*$H$3</f>
        <v>1.1634374999999999</v>
      </c>
      <c r="I92" s="45">
        <f t="shared" si="17"/>
        <v>221.05312499999999</v>
      </c>
      <c r="J92" s="21"/>
      <c r="K92" s="20"/>
    </row>
    <row r="93" spans="1:11" x14ac:dyDescent="0.25">
      <c r="A93" s="21">
        <v>1205</v>
      </c>
      <c r="B93" s="7">
        <v>1</v>
      </c>
      <c r="C93" s="5" t="s">
        <v>13</v>
      </c>
      <c r="D93" s="16" t="s">
        <v>27</v>
      </c>
      <c r="E93" s="19">
        <f>$E$91*0.4</f>
        <v>9.4</v>
      </c>
      <c r="F93" s="20">
        <f>$F$91*0.4</f>
        <v>6.24</v>
      </c>
      <c r="H93" s="41"/>
      <c r="I93" s="45">
        <f t="shared" si="17"/>
        <v>0</v>
      </c>
      <c r="J93" s="21"/>
      <c r="K93" s="20"/>
    </row>
    <row r="94" spans="1:11" x14ac:dyDescent="0.25">
      <c r="A94" s="21">
        <v>1205</v>
      </c>
      <c r="B94" s="7">
        <v>2</v>
      </c>
      <c r="C94" s="5" t="s">
        <v>14</v>
      </c>
      <c r="D94" s="5" t="s">
        <v>15</v>
      </c>
      <c r="E94" s="19">
        <f>$E$91</f>
        <v>23.5</v>
      </c>
      <c r="F94" s="20">
        <f>$F$91</f>
        <v>15.6</v>
      </c>
      <c r="G94">
        <v>0.75</v>
      </c>
      <c r="H94" s="41">
        <f t="shared" ref="H94:H101" si="18">G94*0.85*365*$H$3</f>
        <v>1.1634374999999999</v>
      </c>
      <c r="I94" s="45">
        <f t="shared" si="17"/>
        <v>221.05312499999999</v>
      </c>
      <c r="J94" s="21"/>
      <c r="K94" s="20">
        <f>$K$91</f>
        <v>174.08</v>
      </c>
    </row>
    <row r="95" spans="1:11" x14ac:dyDescent="0.25">
      <c r="A95" s="21">
        <v>1205</v>
      </c>
      <c r="B95" s="7">
        <v>10</v>
      </c>
      <c r="C95" s="5" t="s">
        <v>5</v>
      </c>
      <c r="D95" s="5" t="s">
        <v>15</v>
      </c>
      <c r="E95" s="19">
        <f t="shared" ref="E95:E107" si="19">$E$91</f>
        <v>23.5</v>
      </c>
      <c r="F95" s="20">
        <f t="shared" ref="F95:F107" si="20">$F$91</f>
        <v>15.6</v>
      </c>
      <c r="G95">
        <v>0.3</v>
      </c>
      <c r="H95" s="41">
        <f t="shared" si="18"/>
        <v>0.46537500000000004</v>
      </c>
      <c r="I95" s="45">
        <f t="shared" si="17"/>
        <v>88.421250000000001</v>
      </c>
      <c r="J95" s="21"/>
      <c r="K95" s="20">
        <f t="shared" ref="K95:K100" si="21">$K$91</f>
        <v>174.08</v>
      </c>
    </row>
    <row r="96" spans="1:11" x14ac:dyDescent="0.25">
      <c r="A96" s="21">
        <v>1205</v>
      </c>
      <c r="B96" s="7">
        <v>11</v>
      </c>
      <c r="C96" s="5" t="s">
        <v>32</v>
      </c>
      <c r="D96" s="5" t="s">
        <v>15</v>
      </c>
      <c r="E96" s="19">
        <f t="shared" si="19"/>
        <v>23.5</v>
      </c>
      <c r="F96" s="20">
        <f t="shared" si="20"/>
        <v>15.6</v>
      </c>
      <c r="G96">
        <v>0.3</v>
      </c>
      <c r="H96" s="41">
        <f t="shared" si="18"/>
        <v>0.46537500000000004</v>
      </c>
      <c r="I96" s="45">
        <f t="shared" si="17"/>
        <v>88.421250000000001</v>
      </c>
      <c r="J96" s="21"/>
      <c r="K96" s="20">
        <f t="shared" si="21"/>
        <v>174.08</v>
      </c>
    </row>
    <row r="97" spans="1:11" x14ac:dyDescent="0.25">
      <c r="A97" s="21">
        <v>1205</v>
      </c>
      <c r="B97" s="7">
        <v>12</v>
      </c>
      <c r="C97" s="5" t="s">
        <v>33</v>
      </c>
      <c r="D97" s="5" t="s">
        <v>15</v>
      </c>
      <c r="E97" s="19">
        <f t="shared" si="19"/>
        <v>23.5</v>
      </c>
      <c r="F97" s="20">
        <f t="shared" si="20"/>
        <v>15.6</v>
      </c>
      <c r="G97">
        <v>0.3</v>
      </c>
      <c r="H97" s="41">
        <f t="shared" si="18"/>
        <v>0.46537500000000004</v>
      </c>
      <c r="I97" s="45">
        <f t="shared" si="17"/>
        <v>88.421250000000001</v>
      </c>
      <c r="J97" s="21"/>
      <c r="K97" s="20">
        <f t="shared" si="21"/>
        <v>174.08</v>
      </c>
    </row>
    <row r="98" spans="1:11" x14ac:dyDescent="0.25">
      <c r="A98" s="21">
        <v>1205</v>
      </c>
      <c r="B98" s="7">
        <v>19</v>
      </c>
      <c r="C98" s="5" t="s">
        <v>36</v>
      </c>
      <c r="D98" s="5" t="s">
        <v>15</v>
      </c>
      <c r="E98" s="19">
        <f t="shared" si="19"/>
        <v>23.5</v>
      </c>
      <c r="F98" s="20">
        <f t="shared" si="20"/>
        <v>15.6</v>
      </c>
      <c r="G98">
        <v>0.3</v>
      </c>
      <c r="H98" s="41">
        <f t="shared" si="18"/>
        <v>0.46537500000000004</v>
      </c>
      <c r="I98" s="45">
        <f t="shared" si="17"/>
        <v>88.421250000000001</v>
      </c>
      <c r="J98" s="21"/>
      <c r="K98" s="20">
        <f t="shared" si="21"/>
        <v>174.08</v>
      </c>
    </row>
    <row r="99" spans="1:11" x14ac:dyDescent="0.25">
      <c r="A99" s="21">
        <v>1205</v>
      </c>
      <c r="B99" s="7">
        <v>3</v>
      </c>
      <c r="C99" s="5" t="s">
        <v>34</v>
      </c>
      <c r="D99" s="5" t="s">
        <v>20</v>
      </c>
      <c r="E99" s="19">
        <f t="shared" si="19"/>
        <v>23.5</v>
      </c>
      <c r="F99" s="20">
        <f t="shared" si="20"/>
        <v>15.6</v>
      </c>
      <c r="G99">
        <v>3.8</v>
      </c>
      <c r="H99" s="41">
        <f t="shared" si="18"/>
        <v>5.8947500000000002</v>
      </c>
      <c r="I99" s="45">
        <f t="shared" si="17"/>
        <v>1120.0024999999998</v>
      </c>
      <c r="J99" s="21"/>
      <c r="K99" s="20">
        <f t="shared" si="21"/>
        <v>174.08</v>
      </c>
    </row>
    <row r="100" spans="1:11" x14ac:dyDescent="0.25">
      <c r="A100" s="21">
        <v>1205</v>
      </c>
      <c r="B100" s="7">
        <v>4</v>
      </c>
      <c r="C100" s="5" t="s">
        <v>30</v>
      </c>
      <c r="D100" s="16" t="s">
        <v>20</v>
      </c>
      <c r="E100" s="19">
        <f t="shared" si="19"/>
        <v>23.5</v>
      </c>
      <c r="F100" s="20">
        <f t="shared" si="20"/>
        <v>15.6</v>
      </c>
      <c r="G100">
        <v>3.2</v>
      </c>
      <c r="H100" s="41">
        <f t="shared" si="18"/>
        <v>4.9640000000000004</v>
      </c>
      <c r="I100" s="45">
        <f t="shared" si="17"/>
        <v>943.16000000000008</v>
      </c>
      <c r="J100" s="21"/>
      <c r="K100" s="20">
        <f t="shared" si="21"/>
        <v>174.08</v>
      </c>
    </row>
    <row r="101" spans="1:11" x14ac:dyDescent="0.25">
      <c r="A101" s="21">
        <v>1205</v>
      </c>
      <c r="B101" s="7">
        <v>5</v>
      </c>
      <c r="C101" s="5" t="s">
        <v>21</v>
      </c>
      <c r="D101" s="16" t="s">
        <v>20</v>
      </c>
      <c r="E101" s="19">
        <f>$E$91*0.6</f>
        <v>14.1</v>
      </c>
      <c r="F101" s="20">
        <f>$F$91*0.6</f>
        <v>9.36</v>
      </c>
      <c r="G101">
        <v>3.1</v>
      </c>
      <c r="H101" s="41">
        <f t="shared" si="18"/>
        <v>4.8088749999999996</v>
      </c>
      <c r="I101" s="45">
        <f t="shared" si="17"/>
        <v>913.68624999999986</v>
      </c>
      <c r="J101" s="21"/>
      <c r="K101" s="20">
        <f>$K$91*0.6</f>
        <v>104.44800000000001</v>
      </c>
    </row>
    <row r="102" spans="1:11" x14ac:dyDescent="0.25">
      <c r="A102" s="21">
        <v>1205</v>
      </c>
      <c r="B102" s="7">
        <v>5</v>
      </c>
      <c r="C102" s="5" t="s">
        <v>21</v>
      </c>
      <c r="D102" s="16" t="s">
        <v>15</v>
      </c>
      <c r="E102" s="19">
        <f>$E$91*0.4</f>
        <v>9.4</v>
      </c>
      <c r="F102" s="20">
        <f>$F$91*0.4</f>
        <v>6.24</v>
      </c>
      <c r="H102" s="41"/>
      <c r="I102" s="45">
        <f t="shared" si="17"/>
        <v>0</v>
      </c>
      <c r="J102" s="21"/>
      <c r="K102" s="20">
        <f>$K$91*0.4</f>
        <v>69.632000000000005</v>
      </c>
    </row>
    <row r="103" spans="1:11" x14ac:dyDescent="0.25">
      <c r="A103" s="21">
        <v>1205</v>
      </c>
      <c r="B103" s="7">
        <v>6</v>
      </c>
      <c r="C103" s="5" t="s">
        <v>22</v>
      </c>
      <c r="D103" s="16" t="s">
        <v>20</v>
      </c>
      <c r="E103" s="19">
        <f>$E$91*0.6</f>
        <v>14.1</v>
      </c>
      <c r="F103" s="20">
        <f>$F$91*0.6</f>
        <v>9.36</v>
      </c>
      <c r="G103">
        <v>3.1</v>
      </c>
      <c r="H103" s="41">
        <f>G103*0.85*365*$H$3</f>
        <v>4.8088749999999996</v>
      </c>
      <c r="I103" s="45">
        <f t="shared" si="17"/>
        <v>913.68624999999986</v>
      </c>
      <c r="J103" s="21"/>
      <c r="K103" s="20">
        <f>$K$91*0.6</f>
        <v>104.44800000000001</v>
      </c>
    </row>
    <row r="104" spans="1:11" x14ac:dyDescent="0.25">
      <c r="A104" s="21">
        <v>1205</v>
      </c>
      <c r="B104" s="7">
        <v>6</v>
      </c>
      <c r="C104" s="5" t="s">
        <v>22</v>
      </c>
      <c r="D104" s="16" t="s">
        <v>15</v>
      </c>
      <c r="E104" s="19">
        <f>$E$91*0.4</f>
        <v>9.4</v>
      </c>
      <c r="F104" s="20">
        <f>$F$91*0.4</f>
        <v>6.24</v>
      </c>
      <c r="H104" s="41"/>
      <c r="I104" s="45">
        <f t="shared" si="17"/>
        <v>0</v>
      </c>
      <c r="J104" s="21"/>
      <c r="K104" s="20">
        <f>$K$91*0.4</f>
        <v>69.632000000000005</v>
      </c>
    </row>
    <row r="105" spans="1:11" x14ac:dyDescent="0.25">
      <c r="A105" s="21">
        <v>1205</v>
      </c>
      <c r="B105" s="5">
        <v>7</v>
      </c>
      <c r="C105" s="5" t="s">
        <v>23</v>
      </c>
      <c r="D105" s="16" t="s">
        <v>20</v>
      </c>
      <c r="E105" s="19">
        <f>$E$91*0.6</f>
        <v>14.1</v>
      </c>
      <c r="F105" s="20">
        <f>F91*0.6</f>
        <v>9.36</v>
      </c>
      <c r="G105">
        <v>3.1</v>
      </c>
      <c r="H105" s="41">
        <f>G105*0.85*365*$H$3</f>
        <v>4.8088749999999996</v>
      </c>
      <c r="I105" s="45">
        <f t="shared" si="17"/>
        <v>913.68624999999986</v>
      </c>
      <c r="J105" s="21"/>
      <c r="K105" s="20">
        <f>K91*0.6</f>
        <v>104.44800000000001</v>
      </c>
    </row>
    <row r="106" spans="1:11" x14ac:dyDescent="0.25">
      <c r="A106" s="21">
        <v>1205</v>
      </c>
      <c r="B106" s="5">
        <v>7</v>
      </c>
      <c r="C106" s="5" t="s">
        <v>23</v>
      </c>
      <c r="D106" s="16" t="s">
        <v>15</v>
      </c>
      <c r="E106" s="19">
        <f>$E$91*0.4</f>
        <v>9.4</v>
      </c>
      <c r="F106" s="20">
        <f>$F$91*0.4</f>
        <v>6.24</v>
      </c>
      <c r="H106" s="41"/>
      <c r="I106" s="45">
        <f t="shared" si="17"/>
        <v>0</v>
      </c>
      <c r="J106" s="21"/>
      <c r="K106" s="20">
        <f>$K$91*0.4</f>
        <v>69.632000000000005</v>
      </c>
    </row>
    <row r="107" spans="1:11" x14ac:dyDescent="0.25">
      <c r="A107" s="21">
        <v>1205</v>
      </c>
      <c r="B107" s="22">
        <v>9</v>
      </c>
      <c r="C107" s="22" t="s">
        <v>35</v>
      </c>
      <c r="D107" s="33" t="s">
        <v>15</v>
      </c>
      <c r="E107" s="19">
        <f t="shared" si="19"/>
        <v>23.5</v>
      </c>
      <c r="F107" s="20">
        <f t="shared" si="20"/>
        <v>15.6</v>
      </c>
      <c r="H107" s="41"/>
      <c r="I107" s="45">
        <f t="shared" si="17"/>
        <v>0</v>
      </c>
      <c r="J107" s="21"/>
      <c r="K107" s="20">
        <f>$K$91</f>
        <v>174.08</v>
      </c>
    </row>
    <row r="108" spans="1:11" x14ac:dyDescent="0.25">
      <c r="A108" s="24"/>
      <c r="B108" s="13"/>
      <c r="C108" s="25" t="s">
        <v>42</v>
      </c>
      <c r="D108" s="13"/>
      <c r="E108" s="26"/>
      <c r="F108" s="27"/>
      <c r="H108" s="41"/>
      <c r="I108" s="45"/>
      <c r="J108" s="21"/>
      <c r="K108" s="17"/>
    </row>
    <row r="109" spans="1:11" x14ac:dyDescent="0.25">
      <c r="A109" s="21"/>
      <c r="C109" s="36" t="s">
        <v>47</v>
      </c>
      <c r="D109" s="48">
        <v>0.65760869565217395</v>
      </c>
      <c r="E109" s="37">
        <v>18.399999999999999</v>
      </c>
      <c r="F109" s="38">
        <f>E109*D109</f>
        <v>12.1</v>
      </c>
      <c r="H109" s="41"/>
      <c r="I109" s="45"/>
      <c r="J109" s="47">
        <v>2.16</v>
      </c>
      <c r="K109" s="43">
        <f>J109*1000*0.08*0.8</f>
        <v>138.24</v>
      </c>
    </row>
    <row r="110" spans="1:11" x14ac:dyDescent="0.25">
      <c r="A110" s="21">
        <v>1235</v>
      </c>
      <c r="B110" s="7">
        <v>1</v>
      </c>
      <c r="C110" s="5" t="s">
        <v>13</v>
      </c>
      <c r="D110" s="16" t="s">
        <v>26</v>
      </c>
      <c r="E110" s="19">
        <f>$E$109*0.6</f>
        <v>11.04</v>
      </c>
      <c r="F110" s="20">
        <f>$F$109*0.6</f>
        <v>7.26</v>
      </c>
      <c r="G110">
        <v>0.6</v>
      </c>
      <c r="H110" s="41">
        <f>G110*0.85*365*$H$3</f>
        <v>0.93075000000000008</v>
      </c>
      <c r="I110" s="45">
        <f t="shared" si="17"/>
        <v>176.8425</v>
      </c>
      <c r="J110" s="21"/>
      <c r="K110" s="20"/>
    </row>
    <row r="111" spans="1:11" x14ac:dyDescent="0.25">
      <c r="A111" s="21">
        <v>1235</v>
      </c>
      <c r="B111" s="7">
        <v>1</v>
      </c>
      <c r="C111" s="5" t="s">
        <v>13</v>
      </c>
      <c r="D111" s="16" t="s">
        <v>27</v>
      </c>
      <c r="E111" s="19">
        <f>$E$109*0.4</f>
        <v>7.3599999999999994</v>
      </c>
      <c r="F111" s="20">
        <f>$F$109*0.4</f>
        <v>4.84</v>
      </c>
      <c r="H111" s="41"/>
      <c r="I111" s="45">
        <f t="shared" si="17"/>
        <v>0</v>
      </c>
      <c r="J111" s="21"/>
      <c r="K111" s="20"/>
    </row>
    <row r="112" spans="1:11" x14ac:dyDescent="0.25">
      <c r="A112" s="21">
        <v>1235</v>
      </c>
      <c r="B112" s="7">
        <v>2</v>
      </c>
      <c r="C112" s="5" t="s">
        <v>14</v>
      </c>
      <c r="D112" s="5" t="s">
        <v>15</v>
      </c>
      <c r="E112" s="19">
        <f>$E$109</f>
        <v>18.399999999999999</v>
      </c>
      <c r="F112" s="20">
        <f>$F$109</f>
        <v>12.1</v>
      </c>
      <c r="G112">
        <v>0.6</v>
      </c>
      <c r="H112" s="41">
        <f t="shared" ref="H112:H119" si="22">G112*0.85*365*$H$3</f>
        <v>0.93075000000000008</v>
      </c>
      <c r="I112" s="45">
        <f t="shared" si="17"/>
        <v>176.8425</v>
      </c>
      <c r="J112" s="21"/>
      <c r="K112" s="20">
        <f>$K$109</f>
        <v>138.24</v>
      </c>
    </row>
    <row r="113" spans="1:11" x14ac:dyDescent="0.25">
      <c r="A113" s="21">
        <v>1235</v>
      </c>
      <c r="B113" s="7">
        <v>10</v>
      </c>
      <c r="C113" s="5" t="s">
        <v>5</v>
      </c>
      <c r="D113" s="5" t="s">
        <v>15</v>
      </c>
      <c r="E113" s="19">
        <f t="shared" ref="E113:E125" si="23">$E$109</f>
        <v>18.399999999999999</v>
      </c>
      <c r="F113" s="20">
        <f t="shared" ref="F113:F125" si="24">$F$109</f>
        <v>12.1</v>
      </c>
      <c r="G113">
        <v>0.2</v>
      </c>
      <c r="H113" s="41">
        <f t="shared" si="22"/>
        <v>0.31025000000000003</v>
      </c>
      <c r="I113" s="45">
        <f t="shared" si="17"/>
        <v>58.947500000000005</v>
      </c>
      <c r="J113" s="21"/>
      <c r="K113" s="20">
        <f t="shared" ref="K113:K118" si="25">$K$109</f>
        <v>138.24</v>
      </c>
    </row>
    <row r="114" spans="1:11" x14ac:dyDescent="0.25">
      <c r="A114" s="21">
        <v>1235</v>
      </c>
      <c r="B114" s="7">
        <v>11</v>
      </c>
      <c r="C114" s="5" t="s">
        <v>32</v>
      </c>
      <c r="D114" s="5" t="s">
        <v>15</v>
      </c>
      <c r="E114" s="19">
        <f t="shared" si="23"/>
        <v>18.399999999999999</v>
      </c>
      <c r="F114" s="20">
        <f t="shared" si="24"/>
        <v>12.1</v>
      </c>
      <c r="G114">
        <v>0.2</v>
      </c>
      <c r="H114" s="41">
        <f t="shared" si="22"/>
        <v>0.31025000000000003</v>
      </c>
      <c r="I114" s="45">
        <f t="shared" si="17"/>
        <v>58.947500000000005</v>
      </c>
      <c r="J114" s="21"/>
      <c r="K114" s="20">
        <f t="shared" si="25"/>
        <v>138.24</v>
      </c>
    </row>
    <row r="115" spans="1:11" x14ac:dyDescent="0.25">
      <c r="A115" s="21">
        <v>1235</v>
      </c>
      <c r="B115" s="7">
        <v>12</v>
      </c>
      <c r="C115" s="5" t="s">
        <v>33</v>
      </c>
      <c r="D115" s="5" t="s">
        <v>15</v>
      </c>
      <c r="E115" s="19">
        <f t="shared" si="23"/>
        <v>18.399999999999999</v>
      </c>
      <c r="F115" s="20">
        <f t="shared" si="24"/>
        <v>12.1</v>
      </c>
      <c r="G115">
        <v>0.2</v>
      </c>
      <c r="H115" s="41">
        <f t="shared" si="22"/>
        <v>0.31025000000000003</v>
      </c>
      <c r="I115" s="45">
        <f t="shared" si="17"/>
        <v>58.947500000000005</v>
      </c>
      <c r="J115" s="21"/>
      <c r="K115" s="20">
        <f t="shared" si="25"/>
        <v>138.24</v>
      </c>
    </row>
    <row r="116" spans="1:11" x14ac:dyDescent="0.25">
      <c r="A116" s="21">
        <v>1235</v>
      </c>
      <c r="B116" s="7">
        <v>19</v>
      </c>
      <c r="C116" s="5" t="s">
        <v>36</v>
      </c>
      <c r="D116" s="5" t="s">
        <v>15</v>
      </c>
      <c r="E116" s="19">
        <f t="shared" si="23"/>
        <v>18.399999999999999</v>
      </c>
      <c r="F116" s="20">
        <f t="shared" si="24"/>
        <v>12.1</v>
      </c>
      <c r="G116">
        <v>0.2</v>
      </c>
      <c r="H116" s="41">
        <f t="shared" si="22"/>
        <v>0.31025000000000003</v>
      </c>
      <c r="I116" s="45">
        <f t="shared" si="17"/>
        <v>58.947500000000005</v>
      </c>
      <c r="J116" s="21"/>
      <c r="K116" s="20">
        <f t="shared" si="25"/>
        <v>138.24</v>
      </c>
    </row>
    <row r="117" spans="1:11" x14ac:dyDescent="0.25">
      <c r="A117" s="21">
        <v>1235</v>
      </c>
      <c r="B117" s="7">
        <v>3</v>
      </c>
      <c r="C117" s="5" t="s">
        <v>34</v>
      </c>
      <c r="D117" s="5" t="s">
        <v>20</v>
      </c>
      <c r="E117" s="19">
        <f t="shared" si="23"/>
        <v>18.399999999999999</v>
      </c>
      <c r="F117" s="20">
        <f t="shared" si="24"/>
        <v>12.1</v>
      </c>
      <c r="G117">
        <v>2.9</v>
      </c>
      <c r="H117" s="41">
        <f t="shared" si="22"/>
        <v>4.4986249999999997</v>
      </c>
      <c r="I117" s="45">
        <f t="shared" si="17"/>
        <v>854.73874999999987</v>
      </c>
      <c r="J117" s="21"/>
      <c r="K117" s="20">
        <f t="shared" si="25"/>
        <v>138.24</v>
      </c>
    </row>
    <row r="118" spans="1:11" x14ac:dyDescent="0.25">
      <c r="A118" s="21">
        <v>1235</v>
      </c>
      <c r="B118" s="7">
        <v>4</v>
      </c>
      <c r="C118" s="5" t="s">
        <v>30</v>
      </c>
      <c r="D118" s="16" t="s">
        <v>20</v>
      </c>
      <c r="E118" s="19">
        <f t="shared" si="23"/>
        <v>18.399999999999999</v>
      </c>
      <c r="F118" s="20">
        <f t="shared" si="24"/>
        <v>12.1</v>
      </c>
      <c r="G118">
        <v>2.4</v>
      </c>
      <c r="H118" s="41">
        <f t="shared" si="22"/>
        <v>3.7230000000000003</v>
      </c>
      <c r="I118" s="45">
        <f t="shared" si="17"/>
        <v>707.37</v>
      </c>
      <c r="J118" s="21"/>
      <c r="K118" s="20">
        <f t="shared" si="25"/>
        <v>138.24</v>
      </c>
    </row>
    <row r="119" spans="1:11" x14ac:dyDescent="0.25">
      <c r="A119" s="21">
        <v>1235</v>
      </c>
      <c r="B119" s="7">
        <v>5</v>
      </c>
      <c r="C119" s="5" t="s">
        <v>21</v>
      </c>
      <c r="D119" s="16" t="s">
        <v>20</v>
      </c>
      <c r="E119" s="19">
        <f>$E$109*0.6</f>
        <v>11.04</v>
      </c>
      <c r="F119" s="20">
        <f>$F$109*0.6</f>
        <v>7.26</v>
      </c>
      <c r="G119">
        <v>2.2999999999999998</v>
      </c>
      <c r="H119" s="41">
        <f t="shared" si="22"/>
        <v>3.5678749999999999</v>
      </c>
      <c r="I119" s="45">
        <f t="shared" si="17"/>
        <v>677.8962499999999</v>
      </c>
      <c r="J119" s="21"/>
      <c r="K119" s="20">
        <f>$K$109*0.6</f>
        <v>82.944000000000003</v>
      </c>
    </row>
    <row r="120" spans="1:11" x14ac:dyDescent="0.25">
      <c r="A120" s="21">
        <v>1235</v>
      </c>
      <c r="B120" s="7">
        <v>5</v>
      </c>
      <c r="C120" s="5" t="s">
        <v>21</v>
      </c>
      <c r="D120" s="16" t="s">
        <v>15</v>
      </c>
      <c r="E120" s="19">
        <f>$E$109*0.4</f>
        <v>7.3599999999999994</v>
      </c>
      <c r="F120" s="20">
        <f>$F$109*0.4</f>
        <v>4.84</v>
      </c>
      <c r="H120" s="41"/>
      <c r="I120" s="45">
        <f t="shared" si="17"/>
        <v>0</v>
      </c>
      <c r="J120" s="21"/>
      <c r="K120" s="20">
        <f>$K$109*0.4</f>
        <v>55.296000000000006</v>
      </c>
    </row>
    <row r="121" spans="1:11" x14ac:dyDescent="0.25">
      <c r="A121" s="21">
        <v>1235</v>
      </c>
      <c r="B121" s="7">
        <v>6</v>
      </c>
      <c r="C121" s="5" t="s">
        <v>22</v>
      </c>
      <c r="D121" s="16" t="s">
        <v>20</v>
      </c>
      <c r="E121" s="19">
        <f>$E$109*0.6</f>
        <v>11.04</v>
      </c>
      <c r="F121" s="20">
        <f>$F$109*0.6</f>
        <v>7.26</v>
      </c>
      <c r="G121">
        <v>2.2999999999999998</v>
      </c>
      <c r="H121" s="41">
        <f>G121*0.85*365*$H$3</f>
        <v>3.5678749999999999</v>
      </c>
      <c r="I121" s="45">
        <f t="shared" si="17"/>
        <v>677.8962499999999</v>
      </c>
      <c r="J121" s="21"/>
      <c r="K121" s="20">
        <f>$K$109*0.6</f>
        <v>82.944000000000003</v>
      </c>
    </row>
    <row r="122" spans="1:11" x14ac:dyDescent="0.25">
      <c r="A122" s="21">
        <v>1235</v>
      </c>
      <c r="B122" s="7">
        <v>6</v>
      </c>
      <c r="C122" s="5" t="s">
        <v>22</v>
      </c>
      <c r="D122" s="16" t="s">
        <v>15</v>
      </c>
      <c r="E122" s="19">
        <f>$E$109*0.4</f>
        <v>7.3599999999999994</v>
      </c>
      <c r="F122" s="20">
        <f>$F$109*0.4</f>
        <v>4.84</v>
      </c>
      <c r="H122" s="41"/>
      <c r="I122" s="45">
        <f t="shared" si="17"/>
        <v>0</v>
      </c>
      <c r="J122" s="21"/>
      <c r="K122" s="20">
        <f>$K$109*0.4</f>
        <v>55.296000000000006</v>
      </c>
    </row>
    <row r="123" spans="1:11" x14ac:dyDescent="0.25">
      <c r="A123" s="21">
        <v>1235</v>
      </c>
      <c r="B123" s="5">
        <v>7</v>
      </c>
      <c r="C123" s="5" t="s">
        <v>23</v>
      </c>
      <c r="D123" s="16" t="s">
        <v>20</v>
      </c>
      <c r="E123" s="19">
        <f>$E$109*0.6</f>
        <v>11.04</v>
      </c>
      <c r="F123" s="20">
        <f>$F$109*0.6</f>
        <v>7.26</v>
      </c>
      <c r="G123">
        <v>2.2999999999999998</v>
      </c>
      <c r="H123" s="41">
        <f>G123*0.85*365*$H$3</f>
        <v>3.5678749999999999</v>
      </c>
      <c r="I123" s="45">
        <f t="shared" si="17"/>
        <v>677.8962499999999</v>
      </c>
      <c r="J123" s="21"/>
      <c r="K123" s="20">
        <f>$K$109*0.6</f>
        <v>82.944000000000003</v>
      </c>
    </row>
    <row r="124" spans="1:11" x14ac:dyDescent="0.25">
      <c r="A124" s="21">
        <v>1235</v>
      </c>
      <c r="B124" s="5">
        <v>7</v>
      </c>
      <c r="C124" s="5" t="s">
        <v>23</v>
      </c>
      <c r="D124" s="16" t="s">
        <v>15</v>
      </c>
      <c r="E124" s="19">
        <f>$E$109*0.4</f>
        <v>7.3599999999999994</v>
      </c>
      <c r="F124" s="20">
        <f>$F$109*0.4</f>
        <v>4.84</v>
      </c>
      <c r="H124" s="41"/>
      <c r="I124" s="45">
        <f t="shared" si="17"/>
        <v>0</v>
      </c>
      <c r="J124" s="21"/>
      <c r="K124" s="20">
        <f>$K$109*0.4</f>
        <v>55.296000000000006</v>
      </c>
    </row>
    <row r="125" spans="1:11" x14ac:dyDescent="0.25">
      <c r="A125" s="21">
        <v>1235</v>
      </c>
      <c r="B125" s="22">
        <v>9</v>
      </c>
      <c r="C125" s="22" t="s">
        <v>35</v>
      </c>
      <c r="D125" s="33" t="s">
        <v>15</v>
      </c>
      <c r="E125" s="19">
        <f t="shared" si="23"/>
        <v>18.399999999999999</v>
      </c>
      <c r="F125" s="20">
        <f t="shared" si="24"/>
        <v>12.1</v>
      </c>
      <c r="H125" s="41"/>
      <c r="I125" s="45">
        <f t="shared" si="17"/>
        <v>0</v>
      </c>
      <c r="J125" s="21"/>
      <c r="K125" s="20">
        <f>$K$109</f>
        <v>138.24</v>
      </c>
    </row>
    <row r="126" spans="1:11" x14ac:dyDescent="0.25">
      <c r="A126" s="24"/>
      <c r="B126" s="13"/>
      <c r="C126" s="25" t="s">
        <v>43</v>
      </c>
      <c r="D126" s="13"/>
      <c r="E126" s="26"/>
      <c r="F126" s="27"/>
      <c r="H126" s="41"/>
      <c r="I126" s="45"/>
      <c r="J126" s="21"/>
      <c r="K126" s="17"/>
    </row>
    <row r="127" spans="1:11" x14ac:dyDescent="0.25">
      <c r="A127" s="21"/>
      <c r="C127" s="36" t="s">
        <v>47</v>
      </c>
      <c r="D127" s="48">
        <v>0.69036697247706424</v>
      </c>
      <c r="E127" s="37">
        <v>43.6</v>
      </c>
      <c r="F127" s="38">
        <f>E127*D127</f>
        <v>30.1</v>
      </c>
      <c r="H127" s="41"/>
      <c r="I127" s="45"/>
      <c r="J127" s="47">
        <v>5.08</v>
      </c>
      <c r="K127" s="43">
        <f>J127*1000*0.08*0.8</f>
        <v>325.12000000000006</v>
      </c>
    </row>
    <row r="128" spans="1:11" x14ac:dyDescent="0.25">
      <c r="A128" s="21">
        <v>1241</v>
      </c>
      <c r="B128" s="5">
        <v>1</v>
      </c>
      <c r="C128" s="5" t="s">
        <v>13</v>
      </c>
      <c r="D128" s="16" t="s">
        <v>26</v>
      </c>
      <c r="E128" s="19">
        <f>$E$127*0.6</f>
        <v>26.16</v>
      </c>
      <c r="F128" s="20">
        <f>$F$127*0.6</f>
        <v>18.059999999999999</v>
      </c>
      <c r="G128">
        <v>0.6</v>
      </c>
      <c r="H128" s="41">
        <f>G128*0.85*365*$H$3</f>
        <v>0.93075000000000008</v>
      </c>
      <c r="I128" s="45">
        <f t="shared" si="17"/>
        <v>176.8425</v>
      </c>
      <c r="J128" s="21"/>
      <c r="K128" s="20"/>
    </row>
    <row r="129" spans="1:11" x14ac:dyDescent="0.25">
      <c r="A129" s="21">
        <v>1241</v>
      </c>
      <c r="B129" s="5">
        <v>1</v>
      </c>
      <c r="C129" s="5" t="s">
        <v>13</v>
      </c>
      <c r="D129" s="16" t="s">
        <v>27</v>
      </c>
      <c r="E129" s="19">
        <f>$E$127*0.4</f>
        <v>17.440000000000001</v>
      </c>
      <c r="F129" s="20">
        <f>$F$127*0.4</f>
        <v>12.040000000000001</v>
      </c>
      <c r="H129" s="41"/>
      <c r="I129" s="45">
        <f t="shared" si="17"/>
        <v>0</v>
      </c>
      <c r="J129" s="21"/>
      <c r="K129" s="20"/>
    </row>
    <row r="130" spans="1:11" x14ac:dyDescent="0.25">
      <c r="A130" s="21">
        <v>1241</v>
      </c>
      <c r="B130" s="5">
        <v>2</v>
      </c>
      <c r="C130" s="5" t="s">
        <v>14</v>
      </c>
      <c r="D130" s="5" t="s">
        <v>15</v>
      </c>
      <c r="E130" s="19">
        <f t="shared" ref="E130:E135" si="26">$E$127</f>
        <v>43.6</v>
      </c>
      <c r="F130" s="20">
        <f t="shared" ref="F130:F135" si="27">$F$127</f>
        <v>30.1</v>
      </c>
      <c r="G130">
        <v>0.6</v>
      </c>
      <c r="H130" s="41">
        <f t="shared" ref="H130:H136" si="28">G130*0.85*365*$H$3</f>
        <v>0.93075000000000008</v>
      </c>
      <c r="I130" s="45">
        <f t="shared" si="17"/>
        <v>176.8425</v>
      </c>
      <c r="J130" s="21"/>
      <c r="K130" s="20">
        <f>$K$127</f>
        <v>325.12000000000006</v>
      </c>
    </row>
    <row r="131" spans="1:11" x14ac:dyDescent="0.25">
      <c r="A131" s="21">
        <v>1241</v>
      </c>
      <c r="B131" s="5">
        <v>9</v>
      </c>
      <c r="C131" s="5" t="s">
        <v>32</v>
      </c>
      <c r="D131" s="5" t="s">
        <v>15</v>
      </c>
      <c r="E131" s="19">
        <f t="shared" si="26"/>
        <v>43.6</v>
      </c>
      <c r="F131" s="20">
        <f t="shared" si="27"/>
        <v>30.1</v>
      </c>
      <c r="G131">
        <v>0.2</v>
      </c>
      <c r="H131" s="41">
        <f t="shared" si="28"/>
        <v>0.31025000000000003</v>
      </c>
      <c r="I131" s="45">
        <f t="shared" si="17"/>
        <v>58.947500000000005</v>
      </c>
      <c r="J131" s="21"/>
      <c r="K131" s="20">
        <f t="shared" ref="K131:K135" si="29">$K$127</f>
        <v>325.12000000000006</v>
      </c>
    </row>
    <row r="132" spans="1:11" x14ac:dyDescent="0.25">
      <c r="A132" s="21">
        <v>1241</v>
      </c>
      <c r="B132" s="7">
        <v>10</v>
      </c>
      <c r="C132" s="5" t="s">
        <v>33</v>
      </c>
      <c r="D132" s="5" t="s">
        <v>15</v>
      </c>
      <c r="E132" s="19">
        <f t="shared" si="26"/>
        <v>43.6</v>
      </c>
      <c r="F132" s="20">
        <f t="shared" si="27"/>
        <v>30.1</v>
      </c>
      <c r="G132">
        <v>0.2</v>
      </c>
      <c r="H132" s="41">
        <f t="shared" si="28"/>
        <v>0.31025000000000003</v>
      </c>
      <c r="I132" s="45">
        <f t="shared" si="17"/>
        <v>58.947500000000005</v>
      </c>
      <c r="J132" s="21"/>
      <c r="K132" s="20">
        <f t="shared" si="29"/>
        <v>325.12000000000006</v>
      </c>
    </row>
    <row r="133" spans="1:11" x14ac:dyDescent="0.25">
      <c r="A133" s="21">
        <v>1241</v>
      </c>
      <c r="B133" s="7">
        <v>11</v>
      </c>
      <c r="C133" s="5" t="s">
        <v>36</v>
      </c>
      <c r="D133" s="5" t="s">
        <v>15</v>
      </c>
      <c r="E133" s="19">
        <f t="shared" si="26"/>
        <v>43.6</v>
      </c>
      <c r="F133" s="20">
        <f t="shared" si="27"/>
        <v>30.1</v>
      </c>
      <c r="G133">
        <v>0.2</v>
      </c>
      <c r="H133" s="41">
        <f t="shared" si="28"/>
        <v>0.31025000000000003</v>
      </c>
      <c r="I133" s="45">
        <f t="shared" ref="I133:I172" si="30">G133*0.85*(1-0.05)*365</f>
        <v>58.947500000000005</v>
      </c>
      <c r="J133" s="21"/>
      <c r="K133" s="20">
        <f t="shared" si="29"/>
        <v>325.12000000000006</v>
      </c>
    </row>
    <row r="134" spans="1:11" x14ac:dyDescent="0.25">
      <c r="A134" s="21">
        <v>1241</v>
      </c>
      <c r="B134" s="7">
        <v>3</v>
      </c>
      <c r="C134" s="5" t="s">
        <v>34</v>
      </c>
      <c r="D134" s="5" t="s">
        <v>20</v>
      </c>
      <c r="E134" s="19">
        <f t="shared" si="26"/>
        <v>43.6</v>
      </c>
      <c r="F134" s="20">
        <f t="shared" si="27"/>
        <v>30.1</v>
      </c>
      <c r="G134">
        <v>6</v>
      </c>
      <c r="H134" s="41">
        <f t="shared" si="28"/>
        <v>9.3074999999999992</v>
      </c>
      <c r="I134" s="45">
        <f t="shared" si="30"/>
        <v>1768.425</v>
      </c>
      <c r="J134" s="21"/>
      <c r="K134" s="20">
        <f t="shared" si="29"/>
        <v>325.12000000000006</v>
      </c>
    </row>
    <row r="135" spans="1:11" x14ac:dyDescent="0.25">
      <c r="A135" s="21">
        <v>1241</v>
      </c>
      <c r="B135" s="7">
        <v>4</v>
      </c>
      <c r="C135" s="5" t="s">
        <v>30</v>
      </c>
      <c r="D135" s="16" t="s">
        <v>20</v>
      </c>
      <c r="E135" s="19">
        <f t="shared" si="26"/>
        <v>43.6</v>
      </c>
      <c r="F135" s="20">
        <f t="shared" si="27"/>
        <v>30.1</v>
      </c>
      <c r="G135">
        <v>5.25</v>
      </c>
      <c r="H135" s="41">
        <f t="shared" si="28"/>
        <v>8.1440624999999986</v>
      </c>
      <c r="I135" s="45">
        <f t="shared" si="30"/>
        <v>1547.3718749999996</v>
      </c>
      <c r="J135" s="21"/>
      <c r="K135" s="20">
        <f t="shared" si="29"/>
        <v>325.12000000000006</v>
      </c>
    </row>
    <row r="136" spans="1:11" x14ac:dyDescent="0.25">
      <c r="A136" s="21">
        <v>1241</v>
      </c>
      <c r="B136" s="7">
        <v>5</v>
      </c>
      <c r="C136" s="5" t="s">
        <v>21</v>
      </c>
      <c r="D136" s="16" t="s">
        <v>4</v>
      </c>
      <c r="E136" s="19">
        <f>$E$127*0.6</f>
        <v>26.16</v>
      </c>
      <c r="F136" s="20">
        <f>$F$127*0.6</f>
        <v>18.059999999999999</v>
      </c>
      <c r="G136">
        <v>4.5</v>
      </c>
      <c r="H136" s="41">
        <f t="shared" si="28"/>
        <v>6.9806249999999999</v>
      </c>
      <c r="I136" s="45">
        <f t="shared" si="30"/>
        <v>1326.3187499999999</v>
      </c>
      <c r="J136" s="21"/>
      <c r="K136" s="20">
        <f>$K$127*0.6</f>
        <v>195.07200000000003</v>
      </c>
    </row>
    <row r="137" spans="1:11" x14ac:dyDescent="0.25">
      <c r="A137" s="21">
        <v>1241</v>
      </c>
      <c r="B137" s="7">
        <v>5</v>
      </c>
      <c r="C137" s="5" t="s">
        <v>21</v>
      </c>
      <c r="D137" s="16" t="s">
        <v>15</v>
      </c>
      <c r="E137" s="19">
        <f>$E$127*0.4</f>
        <v>17.440000000000001</v>
      </c>
      <c r="F137" s="20">
        <f>$F$127*0.4</f>
        <v>12.040000000000001</v>
      </c>
      <c r="H137" s="41"/>
      <c r="I137" s="45">
        <f t="shared" si="30"/>
        <v>0</v>
      </c>
      <c r="J137" s="21"/>
      <c r="K137" s="20">
        <f>$K$127*0.4</f>
        <v>130.04800000000003</v>
      </c>
    </row>
    <row r="138" spans="1:11" x14ac:dyDescent="0.25">
      <c r="A138" s="21">
        <v>1241</v>
      </c>
      <c r="B138" s="7">
        <v>6</v>
      </c>
      <c r="C138" s="5" t="s">
        <v>22</v>
      </c>
      <c r="D138" s="16" t="s">
        <v>4</v>
      </c>
      <c r="E138" s="19">
        <f>$E$127*0.6</f>
        <v>26.16</v>
      </c>
      <c r="F138" s="20">
        <f>$F$127*0.6</f>
        <v>18.059999999999999</v>
      </c>
      <c r="G138">
        <v>4.5</v>
      </c>
      <c r="H138" s="41">
        <f>G138*0.85*365*$H$3</f>
        <v>6.9806249999999999</v>
      </c>
      <c r="I138" s="45">
        <f t="shared" si="30"/>
        <v>1326.3187499999999</v>
      </c>
      <c r="J138" s="21"/>
      <c r="K138" s="20">
        <f>$K$127*0.6</f>
        <v>195.07200000000003</v>
      </c>
    </row>
    <row r="139" spans="1:11" x14ac:dyDescent="0.25">
      <c r="A139" s="21">
        <v>1241</v>
      </c>
      <c r="B139" s="7">
        <v>6</v>
      </c>
      <c r="C139" s="5" t="s">
        <v>22</v>
      </c>
      <c r="D139" s="16" t="s">
        <v>15</v>
      </c>
      <c r="E139" s="19">
        <f>$E$127*0.4</f>
        <v>17.440000000000001</v>
      </c>
      <c r="F139" s="20">
        <f>$F$127*0.4</f>
        <v>12.040000000000001</v>
      </c>
      <c r="H139" s="41"/>
      <c r="I139" s="45">
        <f t="shared" si="30"/>
        <v>0</v>
      </c>
      <c r="J139" s="21"/>
      <c r="K139" s="20">
        <f>$K$127*0.4</f>
        <v>130.04800000000003</v>
      </c>
    </row>
    <row r="140" spans="1:11" x14ac:dyDescent="0.25">
      <c r="A140" s="21">
        <v>1241</v>
      </c>
      <c r="B140" s="5">
        <v>7</v>
      </c>
      <c r="C140" s="5" t="s">
        <v>23</v>
      </c>
      <c r="D140" s="16" t="s">
        <v>4</v>
      </c>
      <c r="E140" s="19">
        <f>$E$127*0.6</f>
        <v>26.16</v>
      </c>
      <c r="F140" s="20">
        <f>$F$127*0.6</f>
        <v>18.059999999999999</v>
      </c>
      <c r="G140">
        <v>4.5</v>
      </c>
      <c r="H140" s="41">
        <f>G140*0.85*365*$H$3</f>
        <v>6.9806249999999999</v>
      </c>
      <c r="I140" s="45">
        <f t="shared" si="30"/>
        <v>1326.3187499999999</v>
      </c>
      <c r="J140" s="21"/>
      <c r="K140" s="20">
        <f>$K$127*0.6</f>
        <v>195.07200000000003</v>
      </c>
    </row>
    <row r="141" spans="1:11" x14ac:dyDescent="0.25">
      <c r="A141" s="21">
        <v>1241</v>
      </c>
      <c r="B141" s="5">
        <v>7</v>
      </c>
      <c r="C141" s="5" t="s">
        <v>23</v>
      </c>
      <c r="D141" s="16" t="s">
        <v>15</v>
      </c>
      <c r="E141" s="19">
        <f>$E$127*0.4</f>
        <v>17.440000000000001</v>
      </c>
      <c r="F141" s="20">
        <f>$F$127*0.4</f>
        <v>12.040000000000001</v>
      </c>
      <c r="H141" s="41"/>
      <c r="I141" s="45">
        <f t="shared" si="30"/>
        <v>0</v>
      </c>
      <c r="J141" s="21"/>
      <c r="K141" s="20">
        <f>$K$127*0.4</f>
        <v>130.04800000000003</v>
      </c>
    </row>
    <row r="142" spans="1:11" x14ac:dyDescent="0.25">
      <c r="A142" s="24"/>
      <c r="B142" s="13"/>
      <c r="C142" s="25" t="s">
        <v>44</v>
      </c>
      <c r="D142" s="13"/>
      <c r="E142" s="26"/>
      <c r="F142" s="27"/>
      <c r="H142" s="41"/>
      <c r="I142" s="45"/>
      <c r="J142" s="21"/>
      <c r="K142" s="17"/>
    </row>
    <row r="143" spans="1:11" x14ac:dyDescent="0.25">
      <c r="A143" s="21"/>
      <c r="C143" s="36" t="s">
        <v>47</v>
      </c>
      <c r="D143" s="48">
        <v>0.69182389937106914</v>
      </c>
      <c r="E143" s="37">
        <v>63.6</v>
      </c>
      <c r="F143" s="38">
        <f>E143*D143</f>
        <v>44</v>
      </c>
      <c r="H143" s="41"/>
      <c r="I143" s="45"/>
      <c r="J143" s="47">
        <v>7.35</v>
      </c>
      <c r="K143" s="43">
        <f>J143*1000*0.08*0.8</f>
        <v>470.40000000000003</v>
      </c>
    </row>
    <row r="144" spans="1:11" x14ac:dyDescent="0.25">
      <c r="A144" s="21">
        <v>1242</v>
      </c>
      <c r="B144" s="5">
        <v>1</v>
      </c>
      <c r="C144" s="5" t="s">
        <v>13</v>
      </c>
      <c r="D144" s="16" t="s">
        <v>26</v>
      </c>
      <c r="E144" s="19">
        <f>$E$143*0.6</f>
        <v>38.159999999999997</v>
      </c>
      <c r="F144" s="20">
        <f>$F$143*0.6</f>
        <v>26.4</v>
      </c>
      <c r="G144">
        <v>0.8</v>
      </c>
      <c r="H144" s="41">
        <f>G144*0.85*365*$H$3</f>
        <v>1.2410000000000001</v>
      </c>
      <c r="I144" s="45">
        <f t="shared" si="30"/>
        <v>235.79000000000002</v>
      </c>
      <c r="J144" s="21"/>
      <c r="K144" s="17"/>
    </row>
    <row r="145" spans="1:11" x14ac:dyDescent="0.25">
      <c r="A145" s="21">
        <v>1242</v>
      </c>
      <c r="B145" s="5">
        <v>1</v>
      </c>
      <c r="C145" s="5" t="s">
        <v>13</v>
      </c>
      <c r="D145" s="16" t="s">
        <v>27</v>
      </c>
      <c r="E145" s="19">
        <f>$E$143*0.4</f>
        <v>25.44</v>
      </c>
      <c r="F145" s="20">
        <f>$F$143*0.4</f>
        <v>17.600000000000001</v>
      </c>
      <c r="H145" s="41"/>
      <c r="I145" s="45">
        <f t="shared" si="30"/>
        <v>0</v>
      </c>
      <c r="J145" s="21"/>
      <c r="K145" s="17"/>
    </row>
    <row r="146" spans="1:11" x14ac:dyDescent="0.25">
      <c r="A146" s="21">
        <v>1242</v>
      </c>
      <c r="B146" s="5">
        <v>2</v>
      </c>
      <c r="C146" s="5" t="s">
        <v>14</v>
      </c>
      <c r="D146" s="5" t="s">
        <v>15</v>
      </c>
      <c r="E146" s="19">
        <f t="shared" ref="E146:E151" si="31">$E$143</f>
        <v>63.6</v>
      </c>
      <c r="F146" s="20">
        <f t="shared" ref="F146:F151" si="32">$F$143</f>
        <v>44</v>
      </c>
      <c r="G146">
        <v>0.8</v>
      </c>
      <c r="H146" s="41">
        <f t="shared" ref="H146:H152" si="33">G146*0.85*365*$H$3</f>
        <v>1.2410000000000001</v>
      </c>
      <c r="I146" s="45">
        <f t="shared" si="30"/>
        <v>235.79000000000002</v>
      </c>
      <c r="J146" s="21"/>
      <c r="K146" s="20">
        <f>$K$143</f>
        <v>470.40000000000003</v>
      </c>
    </row>
    <row r="147" spans="1:11" x14ac:dyDescent="0.25">
      <c r="A147" s="21">
        <v>1242</v>
      </c>
      <c r="B147" s="5">
        <v>9</v>
      </c>
      <c r="C147" s="5" t="s">
        <v>32</v>
      </c>
      <c r="D147" s="5" t="s">
        <v>15</v>
      </c>
      <c r="E147" s="19">
        <f t="shared" si="31"/>
        <v>63.6</v>
      </c>
      <c r="F147" s="20">
        <f t="shared" si="32"/>
        <v>44</v>
      </c>
      <c r="G147">
        <v>0.3</v>
      </c>
      <c r="H147" s="41">
        <f t="shared" si="33"/>
        <v>0.46537500000000004</v>
      </c>
      <c r="I147" s="45">
        <f t="shared" si="30"/>
        <v>88.421250000000001</v>
      </c>
      <c r="J147" s="21"/>
      <c r="K147" s="20">
        <f t="shared" ref="K147:K151" si="34">$K$143</f>
        <v>470.40000000000003</v>
      </c>
    </row>
    <row r="148" spans="1:11" x14ac:dyDescent="0.25">
      <c r="A148" s="21">
        <v>1242</v>
      </c>
      <c r="B148" s="7">
        <v>10</v>
      </c>
      <c r="C148" s="5" t="s">
        <v>33</v>
      </c>
      <c r="D148" s="5" t="s">
        <v>15</v>
      </c>
      <c r="E148" s="19">
        <f t="shared" si="31"/>
        <v>63.6</v>
      </c>
      <c r="F148" s="20">
        <f t="shared" si="32"/>
        <v>44</v>
      </c>
      <c r="G148">
        <v>0.3</v>
      </c>
      <c r="H148" s="41">
        <f t="shared" si="33"/>
        <v>0.46537500000000004</v>
      </c>
      <c r="I148" s="45">
        <f t="shared" si="30"/>
        <v>88.421250000000001</v>
      </c>
      <c r="J148" s="21"/>
      <c r="K148" s="20">
        <f t="shared" si="34"/>
        <v>470.40000000000003</v>
      </c>
    </row>
    <row r="149" spans="1:11" x14ac:dyDescent="0.25">
      <c r="A149" s="21">
        <v>1242</v>
      </c>
      <c r="B149" s="7">
        <v>11</v>
      </c>
      <c r="C149" s="5" t="s">
        <v>36</v>
      </c>
      <c r="D149" s="5" t="s">
        <v>15</v>
      </c>
      <c r="E149" s="19">
        <f t="shared" si="31"/>
        <v>63.6</v>
      </c>
      <c r="F149" s="20">
        <f t="shared" si="32"/>
        <v>44</v>
      </c>
      <c r="G149">
        <v>0.3</v>
      </c>
      <c r="H149" s="41">
        <f t="shared" si="33"/>
        <v>0.46537500000000004</v>
      </c>
      <c r="I149" s="45">
        <f t="shared" si="30"/>
        <v>88.421250000000001</v>
      </c>
      <c r="J149" s="21"/>
      <c r="K149" s="20">
        <f t="shared" si="34"/>
        <v>470.40000000000003</v>
      </c>
    </row>
    <row r="150" spans="1:11" x14ac:dyDescent="0.25">
      <c r="A150" s="21">
        <v>1242</v>
      </c>
      <c r="B150" s="7">
        <v>3</v>
      </c>
      <c r="C150" s="5" t="s">
        <v>34</v>
      </c>
      <c r="D150" s="5" t="s">
        <v>20</v>
      </c>
      <c r="E150" s="19">
        <f t="shared" si="31"/>
        <v>63.6</v>
      </c>
      <c r="F150" s="20">
        <f t="shared" si="32"/>
        <v>44</v>
      </c>
      <c r="G150">
        <v>8</v>
      </c>
      <c r="H150" s="41">
        <f t="shared" si="33"/>
        <v>12.41</v>
      </c>
      <c r="I150" s="45">
        <f t="shared" si="30"/>
        <v>2357.9</v>
      </c>
      <c r="J150" s="21"/>
      <c r="K150" s="20">
        <f t="shared" si="34"/>
        <v>470.40000000000003</v>
      </c>
    </row>
    <row r="151" spans="1:11" x14ac:dyDescent="0.25">
      <c r="A151" s="21">
        <v>1242</v>
      </c>
      <c r="B151" s="7">
        <v>4</v>
      </c>
      <c r="C151" s="5" t="s">
        <v>30</v>
      </c>
      <c r="D151" s="16" t="s">
        <v>20</v>
      </c>
      <c r="E151" s="19">
        <f t="shared" si="31"/>
        <v>63.6</v>
      </c>
      <c r="F151" s="20">
        <f t="shared" si="32"/>
        <v>44</v>
      </c>
      <c r="G151">
        <v>7</v>
      </c>
      <c r="H151" s="41">
        <f t="shared" si="33"/>
        <v>10.858750000000001</v>
      </c>
      <c r="I151" s="45">
        <f t="shared" si="30"/>
        <v>2063.1624999999999</v>
      </c>
      <c r="J151" s="21"/>
      <c r="K151" s="20">
        <f t="shared" si="34"/>
        <v>470.40000000000003</v>
      </c>
    </row>
    <row r="152" spans="1:11" x14ac:dyDescent="0.25">
      <c r="A152" s="21">
        <v>1242</v>
      </c>
      <c r="B152" s="7">
        <v>5</v>
      </c>
      <c r="C152" s="5" t="s">
        <v>21</v>
      </c>
      <c r="D152" s="16" t="s">
        <v>20</v>
      </c>
      <c r="E152" s="19">
        <f>$E$143*0.6</f>
        <v>38.159999999999997</v>
      </c>
      <c r="F152" s="20">
        <f>$F$143*0.6</f>
        <v>26.4</v>
      </c>
      <c r="G152">
        <v>6</v>
      </c>
      <c r="H152" s="41">
        <f t="shared" si="33"/>
        <v>9.3074999999999992</v>
      </c>
      <c r="I152" s="45">
        <f t="shared" si="30"/>
        <v>1768.425</v>
      </c>
      <c r="J152" s="21"/>
      <c r="K152" s="20">
        <f>$K$143*0.6</f>
        <v>282.24</v>
      </c>
    </row>
    <row r="153" spans="1:11" x14ac:dyDescent="0.25">
      <c r="A153" s="21">
        <v>1242</v>
      </c>
      <c r="B153" s="7">
        <v>5</v>
      </c>
      <c r="C153" s="5" t="s">
        <v>21</v>
      </c>
      <c r="D153" s="16" t="s">
        <v>15</v>
      </c>
      <c r="E153" s="19">
        <f>$E$143*0.4</f>
        <v>25.44</v>
      </c>
      <c r="F153" s="20">
        <f>$F$143*0.4</f>
        <v>17.600000000000001</v>
      </c>
      <c r="H153" s="41"/>
      <c r="I153" s="45">
        <f t="shared" si="30"/>
        <v>0</v>
      </c>
      <c r="J153" s="21"/>
      <c r="K153" s="20">
        <f>$K$143*0.4</f>
        <v>188.16000000000003</v>
      </c>
    </row>
    <row r="154" spans="1:11" x14ac:dyDescent="0.25">
      <c r="A154" s="21">
        <v>1242</v>
      </c>
      <c r="B154" s="7">
        <v>6</v>
      </c>
      <c r="C154" s="5" t="s">
        <v>22</v>
      </c>
      <c r="D154" s="16" t="s">
        <v>20</v>
      </c>
      <c r="E154" s="19">
        <f>$E$143*0.6</f>
        <v>38.159999999999997</v>
      </c>
      <c r="F154" s="20">
        <f>$F$143*0.6</f>
        <v>26.4</v>
      </c>
      <c r="G154">
        <v>6</v>
      </c>
      <c r="H154" s="41">
        <f>G154*0.85*365*$H$3</f>
        <v>9.3074999999999992</v>
      </c>
      <c r="I154" s="45">
        <f t="shared" si="30"/>
        <v>1768.425</v>
      </c>
      <c r="J154" s="21"/>
      <c r="K154" s="20">
        <f>$K$143*0.6</f>
        <v>282.24</v>
      </c>
    </row>
    <row r="155" spans="1:11" x14ac:dyDescent="0.25">
      <c r="A155" s="21">
        <v>1242</v>
      </c>
      <c r="B155" s="7">
        <v>6</v>
      </c>
      <c r="C155" s="5" t="s">
        <v>22</v>
      </c>
      <c r="D155" s="16" t="s">
        <v>15</v>
      </c>
      <c r="E155" s="19">
        <f>$E$143*0.4</f>
        <v>25.44</v>
      </c>
      <c r="F155" s="20">
        <f>$F$143*0.4</f>
        <v>17.600000000000001</v>
      </c>
      <c r="H155" s="41"/>
      <c r="I155" s="45">
        <f t="shared" si="30"/>
        <v>0</v>
      </c>
      <c r="J155" s="21"/>
      <c r="K155" s="20">
        <f>$K$143*0.4</f>
        <v>188.16000000000003</v>
      </c>
    </row>
    <row r="156" spans="1:11" x14ac:dyDescent="0.25">
      <c r="A156" s="21">
        <v>1242</v>
      </c>
      <c r="B156" s="5">
        <v>7</v>
      </c>
      <c r="C156" s="5" t="s">
        <v>23</v>
      </c>
      <c r="D156" s="16" t="s">
        <v>20</v>
      </c>
      <c r="E156" s="19">
        <f>$E$143*0.6</f>
        <v>38.159999999999997</v>
      </c>
      <c r="F156" s="20">
        <f>$F$143*0.6</f>
        <v>26.4</v>
      </c>
      <c r="G156">
        <v>6</v>
      </c>
      <c r="H156" s="41">
        <f>G156*0.85*365*$H$3</f>
        <v>9.3074999999999992</v>
      </c>
      <c r="I156" s="45">
        <f t="shared" si="30"/>
        <v>1768.425</v>
      </c>
      <c r="J156" s="21"/>
      <c r="K156" s="20">
        <f>$K$143*0.6</f>
        <v>282.24</v>
      </c>
    </row>
    <row r="157" spans="1:11" x14ac:dyDescent="0.25">
      <c r="A157" s="21">
        <v>1242</v>
      </c>
      <c r="B157" s="5">
        <v>7</v>
      </c>
      <c r="C157" s="5" t="s">
        <v>23</v>
      </c>
      <c r="D157" s="16" t="s">
        <v>15</v>
      </c>
      <c r="E157" s="19">
        <f>$E$143*0.4</f>
        <v>25.44</v>
      </c>
      <c r="F157" s="20">
        <f>$F$143*0.4</f>
        <v>17.600000000000001</v>
      </c>
      <c r="H157" s="41"/>
      <c r="I157" s="45">
        <f t="shared" si="30"/>
        <v>0</v>
      </c>
      <c r="J157" s="21"/>
      <c r="K157" s="20">
        <f>$K$143*0.4</f>
        <v>188.16000000000003</v>
      </c>
    </row>
    <row r="158" spans="1:11" x14ac:dyDescent="0.25">
      <c r="A158" s="24"/>
      <c r="B158" s="13"/>
      <c r="C158" s="25" t="s">
        <v>45</v>
      </c>
      <c r="D158" s="13"/>
      <c r="E158" s="26"/>
      <c r="F158" s="27"/>
      <c r="H158" s="41"/>
      <c r="I158" s="45"/>
      <c r="J158" s="21"/>
      <c r="K158" s="17"/>
    </row>
    <row r="159" spans="1:11" x14ac:dyDescent="0.25">
      <c r="A159" s="21"/>
      <c r="C159" s="36" t="s">
        <v>47</v>
      </c>
      <c r="D159" s="48">
        <v>0.6933701657458563</v>
      </c>
      <c r="E159" s="37">
        <v>72.400000000000006</v>
      </c>
      <c r="F159" s="38">
        <f>E159*D159</f>
        <v>50.2</v>
      </c>
      <c r="H159" s="41"/>
      <c r="I159" s="45"/>
      <c r="J159" s="47">
        <v>8.33</v>
      </c>
      <c r="K159" s="43">
        <f>J159*1000*0.08*0.8</f>
        <v>533.12</v>
      </c>
    </row>
    <row r="160" spans="1:11" x14ac:dyDescent="0.25">
      <c r="A160" s="21">
        <v>1243</v>
      </c>
      <c r="B160" s="5">
        <v>1</v>
      </c>
      <c r="C160" s="5" t="s">
        <v>13</v>
      </c>
      <c r="D160" s="16" t="s">
        <v>26</v>
      </c>
      <c r="E160" s="19">
        <f>$E$159*0.6</f>
        <v>43.440000000000005</v>
      </c>
      <c r="F160" s="20">
        <f>$F$159*0.6</f>
        <v>30.12</v>
      </c>
      <c r="G160">
        <v>0.8</v>
      </c>
      <c r="H160" s="41">
        <f>G160*0.85*365*$H$3</f>
        <v>1.2410000000000001</v>
      </c>
      <c r="I160" s="45">
        <f t="shared" si="30"/>
        <v>235.79000000000002</v>
      </c>
      <c r="J160" s="21"/>
      <c r="K160" s="17"/>
    </row>
    <row r="161" spans="1:11" x14ac:dyDescent="0.25">
      <c r="A161" s="21">
        <v>1243</v>
      </c>
      <c r="B161" s="5">
        <v>1</v>
      </c>
      <c r="C161" s="5" t="s">
        <v>13</v>
      </c>
      <c r="D161" s="16" t="s">
        <v>27</v>
      </c>
      <c r="E161" s="19">
        <f>$E$159*0.4</f>
        <v>28.960000000000004</v>
      </c>
      <c r="F161" s="20">
        <f>$F$159*0.4</f>
        <v>20.080000000000002</v>
      </c>
      <c r="H161" s="41"/>
      <c r="I161" s="45">
        <f t="shared" si="30"/>
        <v>0</v>
      </c>
      <c r="J161" s="21"/>
      <c r="K161" s="17"/>
    </row>
    <row r="162" spans="1:11" x14ac:dyDescent="0.25">
      <c r="A162" s="21">
        <v>1243</v>
      </c>
      <c r="B162" s="5">
        <v>2</v>
      </c>
      <c r="C162" s="5" t="s">
        <v>14</v>
      </c>
      <c r="D162" s="5" t="s">
        <v>15</v>
      </c>
      <c r="E162" s="19">
        <f t="shared" ref="E162:E167" si="35">$E$159</f>
        <v>72.400000000000006</v>
      </c>
      <c r="F162" s="20">
        <f t="shared" ref="F162:F167" si="36">$F$159</f>
        <v>50.2</v>
      </c>
      <c r="G162">
        <v>0.8</v>
      </c>
      <c r="H162" s="41">
        <f t="shared" ref="H162:H168" si="37">G162*0.85*365*$H$3</f>
        <v>1.2410000000000001</v>
      </c>
      <c r="I162" s="45">
        <f t="shared" si="30"/>
        <v>235.79000000000002</v>
      </c>
      <c r="J162" s="21"/>
      <c r="K162" s="20">
        <f>$K$159</f>
        <v>533.12</v>
      </c>
    </row>
    <row r="163" spans="1:11" x14ac:dyDescent="0.25">
      <c r="A163" s="21">
        <v>1243</v>
      </c>
      <c r="B163" s="5">
        <v>9</v>
      </c>
      <c r="C163" s="5" t="s">
        <v>32</v>
      </c>
      <c r="D163" s="5" t="s">
        <v>15</v>
      </c>
      <c r="E163" s="19">
        <f t="shared" si="35"/>
        <v>72.400000000000006</v>
      </c>
      <c r="F163" s="20">
        <f t="shared" si="36"/>
        <v>50.2</v>
      </c>
      <c r="G163">
        <v>0.3</v>
      </c>
      <c r="H163" s="41">
        <f t="shared" si="37"/>
        <v>0.46537500000000004</v>
      </c>
      <c r="I163" s="45">
        <f t="shared" si="30"/>
        <v>88.421250000000001</v>
      </c>
      <c r="J163" s="21"/>
      <c r="K163" s="20">
        <f t="shared" ref="K163:K167" si="38">$K$159</f>
        <v>533.12</v>
      </c>
    </row>
    <row r="164" spans="1:11" x14ac:dyDescent="0.25">
      <c r="A164" s="21">
        <v>1243</v>
      </c>
      <c r="B164" s="7">
        <v>10</v>
      </c>
      <c r="C164" s="5" t="s">
        <v>33</v>
      </c>
      <c r="D164" s="5" t="s">
        <v>15</v>
      </c>
      <c r="E164" s="19">
        <f t="shared" si="35"/>
        <v>72.400000000000006</v>
      </c>
      <c r="F164" s="20">
        <f t="shared" si="36"/>
        <v>50.2</v>
      </c>
      <c r="G164">
        <v>0.3</v>
      </c>
      <c r="H164" s="41">
        <f t="shared" si="37"/>
        <v>0.46537500000000004</v>
      </c>
      <c r="I164" s="45">
        <f t="shared" si="30"/>
        <v>88.421250000000001</v>
      </c>
      <c r="J164" s="21"/>
      <c r="K164" s="20">
        <f t="shared" si="38"/>
        <v>533.12</v>
      </c>
    </row>
    <row r="165" spans="1:11" x14ac:dyDescent="0.25">
      <c r="A165" s="21">
        <v>1243</v>
      </c>
      <c r="B165" s="7">
        <v>11</v>
      </c>
      <c r="C165" s="5" t="s">
        <v>36</v>
      </c>
      <c r="D165" s="5" t="s">
        <v>15</v>
      </c>
      <c r="E165" s="19">
        <f t="shared" si="35"/>
        <v>72.400000000000006</v>
      </c>
      <c r="F165" s="20">
        <f t="shared" si="36"/>
        <v>50.2</v>
      </c>
      <c r="G165">
        <v>0.3</v>
      </c>
      <c r="H165" s="41">
        <f t="shared" si="37"/>
        <v>0.46537500000000004</v>
      </c>
      <c r="I165" s="45">
        <f t="shared" si="30"/>
        <v>88.421250000000001</v>
      </c>
      <c r="J165" s="21"/>
      <c r="K165" s="20">
        <f t="shared" si="38"/>
        <v>533.12</v>
      </c>
    </row>
    <row r="166" spans="1:11" x14ac:dyDescent="0.25">
      <c r="A166" s="21">
        <v>1243</v>
      </c>
      <c r="B166" s="7">
        <v>3</v>
      </c>
      <c r="C166" s="5" t="s">
        <v>34</v>
      </c>
      <c r="D166" s="5" t="s">
        <v>20</v>
      </c>
      <c r="E166" s="19">
        <f t="shared" si="35"/>
        <v>72.400000000000006</v>
      </c>
      <c r="F166" s="20">
        <f t="shared" si="36"/>
        <v>50.2</v>
      </c>
      <c r="G166">
        <v>8</v>
      </c>
      <c r="H166" s="41">
        <f t="shared" si="37"/>
        <v>12.41</v>
      </c>
      <c r="I166" s="45">
        <f t="shared" si="30"/>
        <v>2357.9</v>
      </c>
      <c r="J166" s="21"/>
      <c r="K166" s="20">
        <f t="shared" si="38"/>
        <v>533.12</v>
      </c>
    </row>
    <row r="167" spans="1:11" x14ac:dyDescent="0.25">
      <c r="A167" s="21">
        <v>1243</v>
      </c>
      <c r="B167" s="7">
        <v>4</v>
      </c>
      <c r="C167" s="5" t="s">
        <v>30</v>
      </c>
      <c r="D167" s="16" t="s">
        <v>20</v>
      </c>
      <c r="E167" s="19">
        <f t="shared" si="35"/>
        <v>72.400000000000006</v>
      </c>
      <c r="F167" s="20">
        <f t="shared" si="36"/>
        <v>50.2</v>
      </c>
      <c r="G167">
        <v>7</v>
      </c>
      <c r="H167" s="41">
        <f t="shared" si="37"/>
        <v>10.858750000000001</v>
      </c>
      <c r="I167" s="45">
        <f t="shared" si="30"/>
        <v>2063.1624999999999</v>
      </c>
      <c r="J167" s="21"/>
      <c r="K167" s="20">
        <f t="shared" si="38"/>
        <v>533.12</v>
      </c>
    </row>
    <row r="168" spans="1:11" x14ac:dyDescent="0.25">
      <c r="A168" s="21">
        <v>1243</v>
      </c>
      <c r="B168" s="7">
        <v>5</v>
      </c>
      <c r="C168" s="5" t="s">
        <v>21</v>
      </c>
      <c r="D168" s="16" t="s">
        <v>20</v>
      </c>
      <c r="E168" s="19">
        <f>$E$159*0.6</f>
        <v>43.440000000000005</v>
      </c>
      <c r="F168" s="20">
        <f>$F$159*0.6</f>
        <v>30.12</v>
      </c>
      <c r="G168">
        <v>6</v>
      </c>
      <c r="H168" s="41">
        <f t="shared" si="37"/>
        <v>9.3074999999999992</v>
      </c>
      <c r="I168" s="45">
        <f t="shared" si="30"/>
        <v>1768.425</v>
      </c>
      <c r="J168" s="21"/>
      <c r="K168" s="20">
        <f>$K$159*0.6</f>
        <v>319.87200000000001</v>
      </c>
    </row>
    <row r="169" spans="1:11" x14ac:dyDescent="0.25">
      <c r="A169" s="21">
        <v>1243</v>
      </c>
      <c r="B169" s="7">
        <v>5</v>
      </c>
      <c r="C169" s="5" t="s">
        <v>21</v>
      </c>
      <c r="D169" s="16" t="s">
        <v>15</v>
      </c>
      <c r="E169" s="19">
        <f>$E$159*0.4</f>
        <v>28.960000000000004</v>
      </c>
      <c r="F169" s="20">
        <f>$F$159*0.4</f>
        <v>20.080000000000002</v>
      </c>
      <c r="H169" s="41"/>
      <c r="I169" s="45">
        <f t="shared" si="30"/>
        <v>0</v>
      </c>
      <c r="J169" s="21"/>
      <c r="K169" s="20">
        <f>$K$159*0.4</f>
        <v>213.24800000000002</v>
      </c>
    </row>
    <row r="170" spans="1:11" x14ac:dyDescent="0.25">
      <c r="A170" s="21">
        <v>1243</v>
      </c>
      <c r="B170" s="7">
        <v>6</v>
      </c>
      <c r="C170" s="5" t="s">
        <v>22</v>
      </c>
      <c r="D170" s="16" t="s">
        <v>20</v>
      </c>
      <c r="E170" s="19">
        <f>$E$159*0.6</f>
        <v>43.440000000000005</v>
      </c>
      <c r="F170" s="20">
        <f>$F$159*0.6</f>
        <v>30.12</v>
      </c>
      <c r="G170">
        <v>6</v>
      </c>
      <c r="H170" s="41">
        <f>G170*0.85*365*$H$3</f>
        <v>9.3074999999999992</v>
      </c>
      <c r="I170" s="45">
        <f t="shared" si="30"/>
        <v>1768.425</v>
      </c>
      <c r="J170" s="21"/>
      <c r="K170" s="20">
        <f>$K$159*0.6</f>
        <v>319.87200000000001</v>
      </c>
    </row>
    <row r="171" spans="1:11" x14ac:dyDescent="0.25">
      <c r="A171" s="21">
        <v>1243</v>
      </c>
      <c r="B171" s="7">
        <v>7</v>
      </c>
      <c r="C171" s="5" t="s">
        <v>22</v>
      </c>
      <c r="D171" s="16" t="s">
        <v>15</v>
      </c>
      <c r="E171" s="19">
        <f>$E$159*0.4</f>
        <v>28.960000000000004</v>
      </c>
      <c r="F171" s="20">
        <f>$F$159*0.4</f>
        <v>20.080000000000002</v>
      </c>
      <c r="H171" s="41"/>
      <c r="I171" s="45">
        <f t="shared" si="30"/>
        <v>0</v>
      </c>
      <c r="J171" s="21"/>
      <c r="K171" s="20">
        <f>$K$159*0.4</f>
        <v>213.24800000000002</v>
      </c>
    </row>
    <row r="172" spans="1:11" x14ac:dyDescent="0.25">
      <c r="A172" s="21">
        <v>1243</v>
      </c>
      <c r="B172" s="5">
        <v>7</v>
      </c>
      <c r="C172" s="5" t="s">
        <v>23</v>
      </c>
      <c r="D172" s="16" t="s">
        <v>20</v>
      </c>
      <c r="E172" s="19">
        <f>$E$159*0.6</f>
        <v>43.440000000000005</v>
      </c>
      <c r="F172" s="20">
        <f>$F$159*0.6</f>
        <v>30.12</v>
      </c>
      <c r="G172">
        <v>6</v>
      </c>
      <c r="H172" s="41">
        <f>G172*0.85*365*$H$3</f>
        <v>9.3074999999999992</v>
      </c>
      <c r="I172" s="45">
        <f t="shared" si="30"/>
        <v>1768.425</v>
      </c>
      <c r="J172" s="21"/>
      <c r="K172" s="20">
        <f>$K$159*0.6</f>
        <v>319.87200000000001</v>
      </c>
    </row>
    <row r="173" spans="1:11" x14ac:dyDescent="0.25">
      <c r="A173" s="21">
        <v>1243</v>
      </c>
      <c r="B173" s="5">
        <v>8</v>
      </c>
      <c r="C173" s="5" t="s">
        <v>23</v>
      </c>
      <c r="D173" s="33" t="s">
        <v>15</v>
      </c>
      <c r="E173" s="29">
        <f>$E$159*0.4</f>
        <v>28.960000000000004</v>
      </c>
      <c r="F173" s="30">
        <f>$F$159*0.4</f>
        <v>20.080000000000002</v>
      </c>
      <c r="H173" s="41"/>
      <c r="J173" s="28"/>
      <c r="K173" s="30">
        <f>$K$159*0.4</f>
        <v>213.24800000000002</v>
      </c>
    </row>
  </sheetData>
  <mergeCells count="1">
    <mergeCell ref="E1:F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Landbrugsinfo Binær Fil" ma:contentTypeID="0x010100C568DB52D9D0A14D9B2FDCC96666E9F2007948130EC3DB064584E219954237AF3900242457EFB8B24247815D688C526CD44D00C26A9DBCB02B5C4DA1F017B836C045C00060750ADE2E6249BABB5C6118FC133DE800AF2E6DC7107240CAAE62CB7A7C0C310000CFF3D82972A55942AC5679D1ECC35AE6" ma:contentTypeVersion="97" ma:contentTypeDescription="Contenttype til binære filer der bliver publiceret på Landbrugsinfo" ma:contentTypeScope="" ma:versionID="da93e090490850f78618bfcd8e3ef85f">
  <xsd:schema xmlns:xsd="http://www.w3.org/2001/XMLSchema" xmlns:xs="http://www.w3.org/2001/XMLSchema" xmlns:p="http://schemas.microsoft.com/office/2006/metadata/properties" xmlns:ns1="http://schemas.microsoft.com/sharepoint/v3" xmlns:ns2="3f8883b8-a613-49b8-9e7a-815b7776ebd6" xmlns:ns3="5aa14257-579e-4a1f-bbbb-3c8dd7393476" xmlns:ns4="303eeafb-7dff-46db-9396-e9c651f530ea" targetNamespace="http://schemas.microsoft.com/office/2006/metadata/properties" ma:root="true" ma:fieldsID="4cf4ac8dd2ab433885a85a1ceec7bcbb" ns1:_="" ns2:_="" ns3:_="" ns4:_="">
    <xsd:import namespace="http://schemas.microsoft.com/sharepoint/v3"/>
    <xsd:import namespace="3f8883b8-a613-49b8-9e7a-815b7776ebd6"/>
    <xsd:import namespace="5aa14257-579e-4a1f-bbbb-3c8dd7393476"/>
    <xsd:import namespace="303eeafb-7dff-46db-9396-e9c651f530ea"/>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2: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2:Projekter" minOccurs="0"/>
                <xsd:element ref="ns2:WebInfoSubjects" minOccurs="0"/>
                <xsd:element ref="ns2:HitCount" minOccurs="0"/>
                <xsd:element ref="ns2:PermalinkID" minOccurs="0"/>
                <xsd:element ref="ns2:WebInfoMultiSelect" minOccurs="0"/>
                <xsd:element ref="ns4:_dlc_DocId" minOccurs="0"/>
                <xsd:element ref="ns4:_dlc_DocIdUrl" minOccurs="0"/>
                <xsd:element ref="ns4: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2:TaksonomiTaxHTField0" minOccurs="0"/>
                <xsd:element ref="ns4:TaxCatchAll" minOccurs="0"/>
                <xsd:element ref="ns4:TaxCatchAllLabel" minOccurs="0"/>
                <xsd:element ref="ns2:Bevillingsgivere" minOccurs="0"/>
                <xsd:element ref="ns2:FinanceYear" minOccurs="0"/>
                <xsd:element ref="ns2:WebInfoLawCodes" minOccurs="0"/>
                <xsd:element ref="ns2:Afrapportering" minOccurs="0"/>
                <xsd:element ref="ns3:Kontaktpersoner" minOccurs="0"/>
                <xsd:element ref="ns3:Skribenter" minOccurs="0"/>
                <xsd:element ref="ns2:Projec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internalName="PublishingStartDate">
      <xsd:simpleType>
        <xsd:restriction base="dms:Unknown"/>
      </xsd:simpleType>
    </xsd:element>
    <xsd:element name="PublishingExpirationDate" ma:index="10" nillable="true" ma:displayName="Slutdato for planlægning"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element name="DynamicPublishingContent0" ma:index="41" nillable="true" ma:displayName="Dynamisk sideindhold (1)" ma:hidden="true" ma:internalName="DynamicPublishingContent0">
      <xsd:simpleType>
        <xsd:restriction base="dms:Unknown"/>
      </xsd:simpleType>
    </xsd:element>
    <xsd:element name="DynamicPublishingContent1" ma:index="42" nillable="true" ma:displayName="Dynamisk sideindhold (2)" ma:hidden="true" ma:internalName="DynamicPublishingContent1">
      <xsd:simpleType>
        <xsd:restriction base="dms:Unknown"/>
      </xsd:simpleType>
    </xsd:element>
    <xsd:element name="DynamicPublishingContent2" ma:index="43" nillable="true" ma:displayName="Dynamisk sideindhold (3)" ma:hidden="true" ma:internalName="DynamicPublishingContent2">
      <xsd:simpleType>
        <xsd:restriction base="dms:Unknown"/>
      </xsd:simpleType>
    </xsd:element>
    <xsd:element name="DynamicPublishingContent3" ma:index="44" nillable="true" ma:displayName="Dynamisk sideindhold (4)" ma:hidden="true" ma:internalName="DynamicPublishingContent3">
      <xsd:simpleType>
        <xsd:restriction base="dms:Unknown"/>
      </xsd:simpleType>
    </xsd:element>
    <xsd:element name="DynamicPublishingContent4" ma:index="45" nillable="true" ma:displayName="Dynamisk sideindhold (5)" ma:hidden="true" ma:internalName="DynamicPublishingContent4">
      <xsd:simpleType>
        <xsd:restriction base="dms:Unknown"/>
      </xsd:simpleType>
    </xsd:element>
    <xsd:element name="DynamicPublishingContent5" ma:index="46" nillable="true" ma:displayName="Dynamisk sideindhold (6)" ma:hidden="true" ma:internalName="DynamicPublishingContent5">
      <xsd:simpleType>
        <xsd:restriction base="dms:Unknown"/>
      </xsd:simpleType>
    </xsd:element>
    <xsd:element name="DynamicPublishingContent6" ma:index="59" nillable="true" ma:displayName="Dynamisk sideindhold (7)" ma:hidden="true" ma:internalName="DynamicPublishingContent6">
      <xsd:simpleType>
        <xsd:restriction base="dms:Unknown"/>
      </xsd:simpleType>
    </xsd:element>
    <xsd:element name="DynamicPublishingContent7" ma:index="60" nillable="true" ma:displayName="Dynamisk sideindhold (8)" ma:hidden="true" ma:internalName="DynamicPublishingContent7">
      <xsd:simpleType>
        <xsd:restriction base="dms:Unknown"/>
      </xsd:simpleType>
    </xsd:element>
    <xsd:element name="DynamicPublishingContent8" ma:index="61" nillable="true" ma:displayName="Dynamisk sideindhold (9)" ma:hidden="true" ma:internalName="DynamicPublishingContent8">
      <xsd:simpleType>
        <xsd:restriction base="dms:Unknown"/>
      </xsd:simpleType>
    </xsd:element>
    <xsd:element name="DynamicPublishingContent9" ma:index="62" nillable="true" ma:displayName="Dynamisk sideindhold (10)" ma:hidden="true" ma:internalName="DynamicPublishingContent9">
      <xsd:simpleType>
        <xsd:restriction base="dms:Unknown"/>
      </xsd:simpleType>
    </xsd:element>
    <xsd:element name="DynamicPublishingContent10" ma:index="63" nillable="true" ma:displayName="Dynamisk sideindhold (11)" ma:hidden="true" ma:internalName="DynamicPublishingContent10">
      <xsd:simpleType>
        <xsd:restriction base="dms:Unknown"/>
      </xsd:simpleType>
    </xsd:element>
    <xsd:element name="DynamicPublishingContent11" ma:index="64" nillable="true" ma:displayName="Dynamisk sideindhold (12)" ma:hidden="true" ma:internalName="DynamicPublishingContent11">
      <xsd:simpleType>
        <xsd:restriction base="dms:Unknown"/>
      </xsd:simpleType>
    </xsd:element>
    <xsd:element name="DynamicPublishingContent12" ma:index="65" nillable="true" ma:displayName="Dynamisk sideindhold (13)" ma:hidden="true" ma:internalName="DynamicPublishingContent12">
      <xsd:simpleType>
        <xsd:restriction base="dms:Unknown"/>
      </xsd:simpleType>
    </xsd:element>
    <xsd:element name="DynamicPublishingContent13" ma:index="66" nillable="true" ma:displayName="Dynamisk sideindhold (14)" ma:hidden="true" ma:internalName="DynamicPublishingContent13">
      <xsd:simpleType>
        <xsd:restriction base="dms:Unknown"/>
      </xsd:simpleType>
    </xsd:element>
    <xsd:element name="DynamicPublishingContent14" ma:index="67"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8883b8-a613-49b8-9e7a-815b7776ebd6"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readOnly="false" ma:showField="Title" ma:web="{303eeafb-7dff-46db-9396-e9c651f530ea}">
      <xsd:simpleType>
        <xsd:restriction base="dms:Lookup"/>
      </xsd:simpleType>
    </xsd:element>
    <xsd:element name="Afsender" ma:index="36" nillable="true" ma:displayName="Afsender" ma:default="2;#Landscentret" ma:list="{b497b606-9a6f-4593-a3de-acb9bcbea154}" ma:internalName="Afsender" ma:showField="LinkTitleNoMenu" ma:web="{303eeafb-7dff-46db-9396-e9c651f530ea}">
      <xsd:simpleType>
        <xsd:restriction base="dms:Lookup"/>
      </xsd:simpleType>
    </xsd:element>
    <xsd:element name="Arkiveringsdato" ma:index="37" ma:displayName="Arkiveringsdato" ma:format="DateOnly" ma:internalName="Arkiveringsdato">
      <xsd:simpleType>
        <xsd:restriction base="dms:DateTime"/>
      </xsd:simpleType>
    </xsd:element>
    <xsd:element name="Ingen_x0020_besked_x0020_ved_x0020_arkivering" ma:index="38"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39" nillable="true" ma:displayName="Skjul i artikellister" ma:default="0" ma:description="Klik her for at skjule siden i artikellister" ma:internalName="HideInRollups">
      <xsd:simpleType>
        <xsd:restriction base="dms:Boolean"/>
      </xsd:simpleType>
    </xsd:element>
    <xsd:element name="IsHiddenFromRollup" ma:index="40" nillable="true" ma:displayName="Skjult i artikellister (system)" ma:decimals="0" ma:default="0" ma:description="Understøtter infrastrukturen" ma:internalName="IsHiddenFromRollup">
      <xsd:simpleType>
        <xsd:restriction base="dms:Number"/>
      </xsd:simpleType>
    </xsd:element>
    <xsd:element name="EnclosureFor" ma:index="48"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49" nillable="true" ma:displayName="Gammel URL" ma:description="Tidligere placering på landbrugsinfo" ma:internalName="GammelURL">
      <xsd:simpleType>
        <xsd:restriction base="dms:Text">
          <xsd:maxLength value="255"/>
        </xsd:restriction>
      </xsd:simpleType>
    </xsd:element>
    <xsd:element name="NetSkabelonValue" ma:index="50" nillable="true" ma:displayName="NetSkabelon værdier" ma:internalName="NetSkabelonValue">
      <xsd:simpleType>
        <xsd:restriction base="dms:Text">
          <xsd:maxLength value="255"/>
        </xsd:restriction>
      </xsd:simpleType>
    </xsd:element>
    <xsd:element name="Projekter" ma:index="51" nillable="true" ma:displayName="Projekter" ma:list="{ecf07d35-95fb-4bda-ad72-e46544058ec2}" ma:internalName="Projekter" ma:showField="LinkTitleNoMenu" ma:web="{303eeafb-7dff-46db-9396-e9c651f530ea}">
      <xsd:simpleType>
        <xsd:restriction base="dms:Unknown"/>
      </xsd:simpleType>
    </xsd:element>
    <xsd:element name="WebInfoSubjects" ma:index="52"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3" nillable="true" ma:displayName="HitCount (system)" ma:decimals="0" ma:default="0" ma:description="Antal gange et dokument er set af en bruger" ma:internalName="HitCount" ma:readOnly="false">
      <xsd:simpleType>
        <xsd:restriction base="dms:Number"/>
      </xsd:simpleType>
    </xsd:element>
    <xsd:element name="PermalinkID" ma:index="54" nillable="true" ma:displayName="Permalink ID" ma:description="Unik ID for artiklen som kan benyttes til permalink" ma:hidden="true" ma:internalName="PermalinkID" ma:readOnly="false">
      <xsd:simpleType>
        <xsd:restriction base="dms:Text">
          <xsd:maxLength value="255"/>
        </xsd:restriction>
      </xsd:simpleType>
    </xsd:element>
    <xsd:element name="WebInfoMultiSelect" ma:index="55" nillable="true" ma:displayName="Tilvalg" ma:description="Mulighed for et antal tilvalg gemt i et samlet felt." ma:internalName="WebInfoMultiSelect">
      <xsd:simpleType>
        <xsd:restriction base="dms:Unknown"/>
      </xsd:simpleType>
    </xsd:element>
    <xsd:element name="TaksonomiTaxHTField0" ma:index="68"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2"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3" nillable="true" ma:displayName="Bevillingsår" ma:decimals="0" ma:internalName="FinanceYear">
      <xsd:simpleType>
        <xsd:restriction base="dms:Number"/>
      </xsd:simpleType>
    </xsd:element>
    <xsd:element name="WebInfoLawCodes" ma:index="74" nillable="true" ma:displayName="Lovkoder" ma:description="Knyt lovkoder til din artikel." ma:list="{908f6eb6-a66b-478a-a99e-d2541dc092be}" ma:internalName="WebInfoLawCodes" ma:showField="LinkTitleNoMenu" ma:web="{303eeafb-7dff-46db-9396-e9c651f530ea}">
      <xsd:simpleType>
        <xsd:restriction base="dms:Unknown"/>
      </xsd:simpleType>
    </xsd:element>
    <xsd:element name="Afrapportering" ma:index="75" nillable="true" ma:displayName="Afrapportering" ma:list="{126d356a-4f5c-4bbb-91a6-e07af1934e19}" ma:internalName="Afrapportering" ma:showField="LinkTitleNoMenu" ma:web="{303eeafb-7dff-46db-9396-e9c651f530ea}">
      <xsd:simpleType>
        <xsd:restriction base="dms:Unknown"/>
      </xsd:simpleType>
    </xsd:element>
    <xsd:element name="ProjectID" ma:index="78" nillable="true" ma:displayName="ProjectID (system)" ma:internalName="Project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stekode" ma:index="30" nillable="true" ma:displayName="Listekode" ma:internalName="Listekode">
      <xsd:simpleType>
        <xsd:restriction base="dms:Text">
          <xsd:maxLength value="255"/>
        </xsd:restriction>
      </xsd:simpleType>
    </xsd:element>
    <xsd:element name="Nummer" ma:index="31" nillable="true" ma:displayName="Nummer" ma:internalName="Nummer">
      <xsd:simpleType>
        <xsd:restriction base="dms:Text">
          <xsd:maxLength value="255"/>
        </xsd:restriction>
      </xsd:simpleType>
    </xsd:element>
    <xsd:element name="Noegleord" ma:index="32" nillable="true" ma:displayName="Nøgleord" ma:internalName="Noegleord">
      <xsd:simpleType>
        <xsd:restriction base="dms:Text">
          <xsd:maxLength value="255"/>
        </xsd:restriction>
      </xsd:simpleType>
    </xsd:element>
    <xsd:element name="Informationsserie" ma:index="33" nillable="true" ma:displayName="Historisk informationsserie" ma:internalName="Informationsserie">
      <xsd:simpleType>
        <xsd:restriction base="dms:Text">
          <xsd:maxLength value="255"/>
        </xsd:restriction>
      </xsd:simpleType>
    </xsd:element>
    <xsd:element name="Bekraeftelsesdato" ma:index="34" nillable="true" ma:displayName="Bekræftelsesdato" ma:format="DateTime" ma:internalName="Bekraeftelsesdato">
      <xsd:simpleType>
        <xsd:restriction base="dms:DateTime"/>
      </xsd:simpleType>
    </xsd:element>
    <xsd:element name="Revisionsdato" ma:index="35" nillable="true" ma:displayName="Revisionsdato" ma:format="DateTime" ma:internalName="Revisionsdato">
      <xsd:simpleType>
        <xsd:restriction base="dms:DateTime"/>
      </xsd:simpleType>
    </xsd:element>
    <xsd:element name="Sorteringsorden" ma:index="47" nillable="true" ma:displayName="Sorteringsorden" ma:decimals="0" ma:internalName="Sorteringsorden">
      <xsd:simpleType>
        <xsd:restriction base="dms:Number"/>
      </xsd:simpleType>
    </xsd:element>
    <xsd:element name="Kontaktpersoner" ma:index="76" nillable="true" ma:displayName="Kontaktpersoner" ma:list="UserInfo" ma:SharePointGroup="0" ma:internalName="Kontaktpersoner"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kribenter" ma:index="77" nillable="true" ma:displayName="Skribenter" ma:list="UserInfo" ma:SharePointGroup="0" ma:internalName="Skribenter"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56" nillable="true" ma:displayName="Værdi for dokument-id" ma:description="Værdien af det dokument-id, der er tildelt dette element." ma:internalName="_dlc_DocId" ma:readOnly="true">
      <xsd:simpleType>
        <xsd:restriction base="dms:Text"/>
      </xsd:simpleType>
    </xsd:element>
    <xsd:element name="_dlc_DocIdUrl" ma:index="57"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8" nillable="true" ma:displayName="Persist ID" ma:description="Keep ID on add." ma:hidden="true" ma:internalName="_dlc_DocIdPersistId" ma:readOnly="true">
      <xsd:simpleType>
        <xsd:restriction base="dms:Boolean"/>
      </xsd:simpleType>
    </xsd:element>
    <xsd:element name="TaxCatchAll" ma:index="69" nillable="true" ma:displayName="Taxonomy Catch All Column" ma:descriptio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0" nillable="true" ma:displayName="Taxonomy Catch All Column1" ma:description=""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Set Item Permission, based on rettighedsgruppe</Name>
    <Synchronization>Asynchronous</Synchronization>
    <Type>10001</Type>
    <SequenceNumber>1010</SequenceNumber>
    <Assembly>DAAS.WebInfo.Common, Version=1.0.0.0, Culture=neutral, PublicKeyToken=f192aeb827ef4bcc</Assembly>
    <Class>DAAS.WebInfo.Common.EventReceivers.RightsGroupItemEventReceiver</Class>
    <Data/>
    <Filter/>
  </Receiver>
  <Receiver>
    <Name>Set Item Permission, based on rettighedsgruppe</Name>
    <Synchronization>Asynchronous</Synchronization>
    <Type>10002</Type>
    <SequenceNumber>1010</SequenceNumber>
    <Assembly>DAAS.WebInfo.Common, Version=1.0.0.0, Culture=neutral, PublicKeyToken=f192aeb827ef4bcc</Assembly>
    <Class>DAAS.WebInfo.Common.EventReceivers.RightsGroupItemEventReceiver</Class>
    <Data/>
    <Filter/>
  </Receiver>
  <Receiver>
    <Name>WebInfo Content Page Event</Name>
    <Synchronization>Synchronous</Synchronization>
    <Type>1</Type>
    <SequenceNumber>1030</SequenceNumber>
    <Assembly>DAAS.WebInfo.Common, Version=1.0.0.0, Culture=neutral, PublicKeyToken=f192aeb827ef4bcc</Assembly>
    <Class>DAAS.WebInfo.Common.EventReceivers.WebInfoContentPageEventReceiver</Class>
    <Data/>
    <Filter/>
  </Receiver>
  <Receiver>
    <Name>WebInfo Content Page Event</Name>
    <Synchronization>Synchronous</Synchronization>
    <Type>2</Type>
    <SequenceNumber>1030</SequenceNumber>
    <Assembly>DAAS.WebInfo.Common, Version=1.0.0.0, Culture=neutral, PublicKeyToken=f192aeb827ef4bcc</Assembly>
    <Class>DAAS.WebInfo.Common.EventReceivers.WebInfoContentPageEventReceiver</Class>
    <Data/>
    <Filter/>
  </Receiver>
  <Receiver>
    <Name>WebInfo Content Page Event</Name>
    <Synchronization>Asynchronous</Synchronization>
    <Type>10002</Type>
    <SequenceNumber>1030</SequenceNumber>
    <Assembly>DAAS.WebInfo.Common, Version=1.0.0.0, Culture=neutral, PublicKeyToken=f192aeb827ef4bcc</Assembly>
    <Class>DAAS.WebInfo.Common.EventReceivers.WebInfoContentPageEventReceiver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DynamicPublishingContent11 xmlns="http://schemas.microsoft.com/sharepoint/v3" xsi:nil="true"/>
    <DynamicPublishingContent14 xmlns="http://schemas.microsoft.com/sharepoint/v3" xsi:nil="true"/>
    <TaksonomiTaxHTField0 xmlns="3f8883b8-a613-49b8-9e7a-815b7776ebd6">
      <Terms xmlns="http://schemas.microsoft.com/office/infopath/2007/PartnerControls"/>
    </TaksonomiTaxHTField0>
    <FinanceYear xmlns="3f8883b8-a613-49b8-9e7a-815b7776ebd6" xsi:nil="true"/>
    <Ansvarligafdeling xmlns="3f8883b8-a613-49b8-9e7a-815b7776ebd6">49</Ansvarligafdeling>
    <NetSkabelonValue xmlns="3f8883b8-a613-49b8-9e7a-815b7776ebd6" xsi:nil="true"/>
    <HitCount xmlns="3f8883b8-a613-49b8-9e7a-815b7776ebd6">0</HitCount>
    <WebInfoMultiSelect xmlns="3f8883b8-a613-49b8-9e7a-815b7776ebd6" xsi:nil="true"/>
    <GammelURL xmlns="3f8883b8-a613-49b8-9e7a-815b7776ebd6" xsi:nil="true"/>
    <PublishingRollupImage xmlns="http://schemas.microsoft.com/sharepoint/v3" xsi:nil="true"/>
    <Revisionsdato xmlns="5aa14257-579e-4a1f-bbbb-3c8dd7393476">2021-01-21T08:41:00+00:00</Revisionsdato>
    <DynamicPublishingContent5 xmlns="http://schemas.microsoft.com/sharepoint/v3" xsi:nil="true"/>
    <DynamicPublishingContent12 xmlns="http://schemas.microsoft.com/sharepoint/v3" xsi:nil="true"/>
    <PublishingContactEmail xmlns="http://schemas.microsoft.com/sharepoint/v3" xsi:nil="true"/>
    <HeaderStyleDefinitions xmlns="http://schemas.microsoft.com/sharepoint/v3" xsi:nil="true"/>
    <Rettighedsgruppe xmlns="3f8883b8-a613-49b8-9e7a-815b7776ebd6">1</Rettighedsgruppe>
    <Afsender xmlns="3f8883b8-a613-49b8-9e7a-815b7776ebd6">2</Afsender>
    <DynamicPublishingContent4 xmlns="http://schemas.microsoft.com/sharepoint/v3" xsi:nil="true"/>
    <Skribenter xmlns="5aa14257-579e-4a1f-bbbb-3c8dd7393476">
      <UserInfo>
        <DisplayName/>
        <AccountId xsi:nil="true"/>
        <AccountType/>
      </UserInfo>
    </Skribenter>
    <PublishingVariationRelationshipLinkFieldID xmlns="http://schemas.microsoft.com/sharepoint/v3">
      <Url xsi:nil="true"/>
      <Description xsi:nil="true"/>
    </PublishingVariationRelationshipLinkFieldID>
    <PublishingPageContent xmlns="http://schemas.microsoft.com/sharepoint/v3" xsi:nil="true"/>
    <IsHiddenFromRollup xmlns="3f8883b8-a613-49b8-9e7a-815b7776ebd6">0</IsHiddenFromRollup>
    <DynamicPublishingContent7 xmlns="http://schemas.microsoft.com/sharepoint/v3" xsi:nil="true"/>
    <DynamicPublishingContent6 xmlns="http://schemas.microsoft.com/sharepoint/v3" xsi:nil="true"/>
    <Bekraeftelsesdato xmlns="5aa14257-579e-4a1f-bbbb-3c8dd7393476">2021-01-21T08:41:00+00:00</Bekraeftelsesdato>
    <DynamicPublishingContent1 xmlns="http://schemas.microsoft.com/sharepoint/v3" xsi:nil="true"/>
    <Projekter xmlns="3f8883b8-a613-49b8-9e7a-815b7776ebd6" xsi:nil="true"/>
    <DynamicPublishingContent13 xmlns="http://schemas.microsoft.com/sharepoint/v3" xsi:nil="true"/>
    <PublishingVariationGroupID xmlns="http://schemas.microsoft.com/sharepoint/v3" xsi:nil="true"/>
    <ArticleStartDate xmlns="http://schemas.microsoft.com/sharepoint/v3">2021-01-21T08:43:19+00:00</ArticleStartDate>
    <Listekode xmlns="5aa14257-579e-4a1f-bbbb-3c8dd7393476" xsi:nil="true"/>
    <Arkiveringsdato xmlns="3f8883b8-a613-49b8-9e7a-815b7776ebd6">2099-12-31T23:00:00+00:00</Arkiveringsdato>
    <HideInRollups xmlns="3f8883b8-a613-49b8-9e7a-815b7776ebd6">false</HideInRollups>
    <DynamicPublishingContent0 xmlns="http://schemas.microsoft.com/sharepoint/v3" xsi:nil="true"/>
    <PermalinkID xmlns="3f8883b8-a613-49b8-9e7a-815b7776ebd6">eec70664-e54c-4d9f-a2f0-5e7d7b632650</PermalinkID>
    <ArticleByLine xmlns="http://schemas.microsoft.com/sharepoint/v3" xsi:nil="true"/>
    <PublishingImageCaption xmlns="http://schemas.microsoft.com/sharepoint/v3" xsi:nil="true"/>
    <Forfattere xmlns="5aa14257-579e-4a1f-bbbb-3c8dd7393476">
      <UserInfo>
        <DisplayName>i:0e.t|dlbr idp|lfatch@prod.dli</DisplayName>
        <AccountId>62052</AccountId>
        <AccountType/>
      </UserInfo>
      <UserInfo>
        <DisplayName>i:0e.t|dlbr idp|001makr@prod.dli</DisplayName>
        <AccountId>51514</AccountId>
        <AccountType/>
      </UserInfo>
    </Forfattere>
    <DynamicPublishingContent3 xmlns="http://schemas.microsoft.com/sharepoint/v3" xsi:nil="true"/>
    <Sorteringsorden xmlns="5aa14257-579e-4a1f-bbbb-3c8dd7393476" xsi:nil="true"/>
    <EnclosureFor xmlns="3f8883b8-a613-49b8-9e7a-815b7776ebd6">
      <Url xsi:nil="true"/>
      <Description xsi:nil="true"/>
    </EnclosureFor>
    <Audience xmlns="http://schemas.microsoft.com/sharepoint/v3" xsi:nil="true"/>
    <PublishingPageImage xmlns="http://schemas.microsoft.com/sharepoint/v3" xsi:nil="true"/>
    <DynamicPublishingContent2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Ingen_x0020_besked_x0020_ved_x0020_arkivering xmlns="3f8883b8-a613-49b8-9e7a-815b7776ebd6">false</Ingen_x0020_besked_x0020_ved_x0020_arkivering>
    <Bevillingsgivere xmlns="3f8883b8-a613-49b8-9e7a-815b7776ebd6" xsi:nil="true"/>
    <WebInfoLawCodes xmlns="3f8883b8-a613-49b8-9e7a-815b7776ebd6" xsi:nil="true"/>
    <PublishingContactPicture xmlns="http://schemas.microsoft.com/sharepoint/v3">
      <Url xsi:nil="true"/>
      <Description xsi:nil="true"/>
    </PublishingContactPicture>
    <Informationsserie xmlns="5aa14257-579e-4a1f-bbbb-3c8dd7393476" xsi:nil="true"/>
    <ProjectID xmlns="3f8883b8-a613-49b8-9e7a-815b7776ebd6">X1223X</ProjectID>
    <PublishingStartDate xmlns="http://schemas.microsoft.com/sharepoint/v3" xsi:nil="true"/>
    <WebInfoSubjects xmlns="3f8883b8-a613-49b8-9e7a-815b7776ebd6" xsi:nil="true"/>
    <Kontaktpersoner xmlns="5aa14257-579e-4a1f-bbbb-3c8dd7393476">
      <UserInfo>
        <DisplayName/>
        <AccountId xsi:nil="true"/>
        <AccountType/>
      </UserInfo>
    </Kontaktpersoner>
    <DynamicPublishingContent9 xmlns="http://schemas.microsoft.com/sharepoint/v3" xsi:nil="true"/>
    <DynamicPublishingContent10 xmlns="http://schemas.microsoft.com/sharepoint/v3" xsi:nil="true"/>
    <Afrapportering xmlns="3f8883b8-a613-49b8-9e7a-815b7776ebd6">1223;#Fundamentet for landbrugsbedriftens bæredygtighedsplatform</Afrapportering>
    <PublishingContact xmlns="http://schemas.microsoft.com/sharepoint/v3">
      <UserInfo>
        <DisplayName/>
        <AccountId xsi:nil="true"/>
        <AccountType/>
      </UserInfo>
    </PublishingContact>
    <PublishingContactName xmlns="http://schemas.microsoft.com/sharepoint/v3" xsi:nil="true"/>
    <Noegleord xmlns="5aa14257-579e-4a1f-bbbb-3c8dd7393476" xsi:nil="true"/>
    <DynamicPublishingContent8 xmlns="http://schemas.microsoft.com/sharepoint/v3" xsi:nil="true"/>
    <TaxCatchAll xmlns="303eeafb-7dff-46db-9396-e9c651f530ea"/>
    <Comments xmlns="http://schemas.microsoft.com/sharepoint/v3">Regneark (database) der indeholder miljø- og klimanormtal for malkekvæg. Brugervejledning og dokumentation findes i regneark.
</Comments>
    <Nummer xmlns="5aa14257-579e-4a1f-bbbb-3c8dd7393476" xsi:nil="true"/>
    <_dlc_DocId xmlns="303eeafb-7dff-46db-9396-e9c651f530ea">LBINFO-340003824-368</_dlc_DocId>
    <_dlc_DocIdUrl xmlns="303eeafb-7dff-46db-9396-e9c651f530ea">
      <Url>https://sp.landbrugsinfo.dk/Afrapportering/business/2020/_layouts/DocIdRedir.aspx?ID=LBINFO-340003824-368</Url>
      <Description>LBINFO-340003824-368</Description>
    </_dlc_DocIdUrl>
  </documentManagement>
</p:properties>
</file>

<file path=customXml/itemProps1.xml><?xml version="1.0" encoding="utf-8"?>
<ds:datastoreItem xmlns:ds="http://schemas.openxmlformats.org/officeDocument/2006/customXml" ds:itemID="{A3DA4B59-145C-4C62-A1AA-2D957277DF8A}"/>
</file>

<file path=customXml/itemProps2.xml><?xml version="1.0" encoding="utf-8"?>
<ds:datastoreItem xmlns:ds="http://schemas.openxmlformats.org/officeDocument/2006/customXml" ds:itemID="{2EB571E9-A7BA-47BC-AD32-2CFCD5437413}"/>
</file>

<file path=customXml/itemProps3.xml><?xml version="1.0" encoding="utf-8"?>
<ds:datastoreItem xmlns:ds="http://schemas.openxmlformats.org/officeDocument/2006/customXml" ds:itemID="{153236C7-423A-46BF-87AA-9A5D64CD8D64}"/>
</file>

<file path=customXml/itemProps4.xml><?xml version="1.0" encoding="utf-8"?>
<ds:datastoreItem xmlns:ds="http://schemas.openxmlformats.org/officeDocument/2006/customXml" ds:itemID="{8E6633F6-6136-4896-8ECA-9A076B008364}"/>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Regneark</vt:lpstr>
      </vt:variant>
      <vt:variant>
        <vt:i4>4</vt:i4>
      </vt:variant>
      <vt:variant>
        <vt:lpstr>Navngivne områder</vt:lpstr>
      </vt:variant>
      <vt:variant>
        <vt:i4>1</vt:i4>
      </vt:variant>
    </vt:vector>
  </HeadingPairs>
  <TitlesOfParts>
    <vt:vector size="5" baseType="lpstr">
      <vt:lpstr>Dokumentation</vt:lpstr>
      <vt:lpstr>Beregningsark klimaaftryk årsko</vt:lpstr>
      <vt:lpstr>Beregningsark foder_enteriskCH4</vt:lpstr>
      <vt:lpstr>Dataark Normtal kvæg</vt:lpstr>
      <vt:lpstr>Dokumentation!OLE_LINK1</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 4 Miljø- og klimanormtal for malkekvæg</dc:title>
  <dc:creator>Lone Harder Waldemar</dc:creator>
  <cp:lastModifiedBy>Sanne Trampedach</cp:lastModifiedBy>
  <dcterms:created xsi:type="dcterms:W3CDTF">2015-02-24T13:53:46Z</dcterms:created>
  <dcterms:modified xsi:type="dcterms:W3CDTF">2021-01-21T08:41:00Z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0x010100C568DB52D9D0A14D9B2FDCC96666E9F2007948130EC3DB064584E219954237AF3900242457EFB8B24247815D688C526CD44D00C26A9DBCB02B5C4DA1F017B836C045C00060750ADE2E6249BABB5C6118FC133DE800AF2E6DC7107240CAAE62CB7A7C0C310000CFF3D82972A55942AC5679D1ECC35AE6</vt:lpwstr>
  </property>
  <property fmtid="{D5CDD505-2E9C-101B-9397-08002B2CF9AE}" pid="3" name="_dlc_DocIdItemGuid">
    <vt:lpwstr>c1e03693-8977-4a5d-a19b-39c51aa91ace</vt:lpwstr>
  </property>
  <property fmtid="{D5CDD505-2E9C-101B-9397-08002B2CF9AE}" pid="4" name="Taksonomi">
    <vt:lpwstr/>
  </property>
</Properties>
</file>